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YFUL\Desktop\毎月タスク\廃番リスト更新\過去分\"/>
    </mc:Choice>
  </mc:AlternateContent>
  <xr:revisionPtr revIDLastSave="0" documentId="13_ncr:1_{012D287D-3B15-49DD-958C-33942C3662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Sheet1!$B$10:$E$1577</definedName>
    <definedName name="_xlnm.Print_Area" localSheetId="0">Sheet1!$A$1:$E$1345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E14" i="1"/>
  <c r="E15" i="1"/>
  <c r="E16" i="1"/>
  <c r="E17" i="1"/>
  <c r="E18" i="1"/>
  <c r="E19" i="1"/>
  <c r="E20" i="1"/>
  <c r="E21" i="1"/>
  <c r="E22" i="1"/>
  <c r="E26" i="1"/>
  <c r="E27" i="1"/>
  <c r="E28" i="1"/>
  <c r="E30" i="1"/>
  <c r="E33" i="1"/>
  <c r="E34" i="1"/>
  <c r="E35" i="1"/>
  <c r="E38" i="1"/>
  <c r="E40" i="1"/>
  <c r="E41" i="1"/>
  <c r="E42" i="1"/>
  <c r="E43" i="1"/>
  <c r="E45" i="1"/>
  <c r="E46" i="1"/>
  <c r="E47" i="1"/>
  <c r="E48" i="1"/>
  <c r="E50" i="1"/>
  <c r="E51" i="1"/>
  <c r="E52" i="1"/>
  <c r="E54" i="1"/>
  <c r="E55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8" i="1"/>
  <c r="E79" i="1"/>
  <c r="E81" i="1"/>
  <c r="E82" i="1"/>
  <c r="E83" i="1"/>
  <c r="E84" i="1"/>
  <c r="E86" i="1"/>
  <c r="E88" i="1"/>
  <c r="E90" i="1"/>
  <c r="E91" i="1"/>
  <c r="E93" i="1"/>
  <c r="E94" i="1"/>
  <c r="E98" i="1"/>
  <c r="E99" i="1"/>
  <c r="E100" i="1"/>
  <c r="E101" i="1"/>
  <c r="E102" i="1"/>
  <c r="E103" i="1"/>
  <c r="E105" i="1"/>
  <c r="E107" i="1"/>
  <c r="E109" i="1"/>
  <c r="E110" i="1"/>
  <c r="E113" i="1"/>
  <c r="E114" i="1"/>
  <c r="E115" i="1"/>
  <c r="E116" i="1"/>
  <c r="E117" i="1"/>
  <c r="E118" i="1"/>
  <c r="E119" i="1"/>
  <c r="E120" i="1"/>
  <c r="E121" i="1"/>
  <c r="E124" i="1"/>
  <c r="E125" i="1"/>
  <c r="E126" i="1"/>
  <c r="E127" i="1"/>
  <c r="E128" i="1"/>
  <c r="E129" i="1"/>
  <c r="E131" i="1"/>
  <c r="E132" i="1"/>
  <c r="E133" i="1"/>
  <c r="E135" i="1"/>
  <c r="E136" i="1"/>
  <c r="E137" i="1"/>
  <c r="E138" i="1"/>
  <c r="E139" i="1"/>
  <c r="E140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9" i="1"/>
  <c r="E162" i="1"/>
  <c r="E163" i="1"/>
  <c r="E164" i="1"/>
  <c r="E165" i="1"/>
  <c r="E166" i="1"/>
  <c r="E167" i="1"/>
  <c r="E168" i="1"/>
  <c r="E171" i="1"/>
  <c r="E172" i="1"/>
  <c r="E173" i="1"/>
  <c r="E174" i="1"/>
  <c r="E175" i="1"/>
  <c r="E176" i="1"/>
  <c r="E177" i="1"/>
  <c r="E179" i="1"/>
  <c r="E180" i="1"/>
  <c r="E182" i="1"/>
  <c r="E184" i="1"/>
  <c r="E185" i="1"/>
  <c r="E186" i="1"/>
  <c r="E187" i="1"/>
  <c r="E188" i="1"/>
  <c r="E189" i="1"/>
  <c r="E190" i="1"/>
  <c r="E191" i="1"/>
  <c r="E192" i="1"/>
  <c r="E194" i="1"/>
  <c r="E195" i="1"/>
  <c r="E197" i="1"/>
  <c r="E198" i="1"/>
  <c r="E199" i="1"/>
  <c r="E202" i="1"/>
  <c r="E203" i="1"/>
  <c r="E204" i="1"/>
  <c r="E205" i="1"/>
  <c r="E209" i="1"/>
  <c r="E212" i="1"/>
  <c r="E213" i="1"/>
  <c r="E215" i="1"/>
  <c r="E216" i="1"/>
  <c r="E217" i="1"/>
  <c r="E218" i="1"/>
  <c r="E220" i="1"/>
  <c r="E221" i="1"/>
  <c r="E222" i="1"/>
  <c r="E226" i="1"/>
  <c r="E228" i="1"/>
  <c r="E229" i="1"/>
  <c r="E231" i="1"/>
  <c r="E232" i="1"/>
  <c r="E234" i="1"/>
  <c r="E235" i="1"/>
  <c r="E236" i="1"/>
  <c r="E237" i="1"/>
  <c r="E239" i="1"/>
  <c r="E240" i="1"/>
  <c r="E241" i="1"/>
  <c r="E242" i="1"/>
  <c r="E243" i="1"/>
  <c r="E245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3" i="1"/>
  <c r="E264" i="1"/>
  <c r="E265" i="1"/>
  <c r="E266" i="1"/>
  <c r="E269" i="1"/>
  <c r="E270" i="1"/>
  <c r="E271" i="1"/>
  <c r="E274" i="1"/>
  <c r="E275" i="1"/>
  <c r="E277" i="1"/>
  <c r="E278" i="1"/>
  <c r="E279" i="1"/>
  <c r="E280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304" i="1"/>
  <c r="E305" i="1"/>
  <c r="E307" i="1"/>
  <c r="E309" i="1"/>
  <c r="E310" i="1"/>
  <c r="E311" i="1"/>
  <c r="E312" i="1"/>
  <c r="E313" i="1"/>
  <c r="E314" i="1"/>
  <c r="E315" i="1"/>
  <c r="E316" i="1"/>
  <c r="E318" i="1"/>
  <c r="E319" i="1"/>
  <c r="E320" i="1"/>
  <c r="E321" i="1"/>
  <c r="E322" i="1"/>
  <c r="E325" i="1"/>
  <c r="E326" i="1"/>
  <c r="E329" i="1"/>
  <c r="E330" i="1"/>
  <c r="E331" i="1"/>
  <c r="E411" i="1"/>
  <c r="E415" i="1"/>
  <c r="E416" i="1"/>
  <c r="E417" i="1"/>
  <c r="E418" i="1"/>
  <c r="E419" i="1"/>
  <c r="E422" i="1"/>
  <c r="E423" i="1"/>
  <c r="E424" i="1"/>
  <c r="E425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4" i="1"/>
  <c r="E445" i="1"/>
  <c r="E446" i="1"/>
  <c r="E447" i="1"/>
  <c r="E448" i="1"/>
  <c r="E449" i="1"/>
  <c r="E452" i="1"/>
  <c r="E453" i="1"/>
  <c r="E454" i="1"/>
  <c r="E455" i="1"/>
  <c r="E456" i="1"/>
  <c r="E457" i="1"/>
  <c r="E458" i="1"/>
  <c r="E460" i="1"/>
  <c r="E463" i="1"/>
  <c r="E464" i="1"/>
  <c r="E465" i="1"/>
  <c r="E466" i="1"/>
  <c r="E467" i="1"/>
  <c r="E468" i="1"/>
  <c r="E469" i="1"/>
  <c r="E471" i="1"/>
  <c r="E477" i="1"/>
  <c r="E480" i="1"/>
  <c r="E482" i="1"/>
  <c r="E484" i="1"/>
  <c r="E487" i="1"/>
  <c r="E488" i="1"/>
  <c r="E489" i="1"/>
  <c r="E490" i="1"/>
  <c r="E491" i="1"/>
  <c r="E492" i="1"/>
  <c r="E494" i="1"/>
  <c r="E495" i="1"/>
  <c r="E496" i="1"/>
  <c r="E500" i="1"/>
  <c r="E503" i="1"/>
  <c r="E504" i="1"/>
  <c r="E505" i="1"/>
  <c r="E506" i="1"/>
  <c r="E507" i="1"/>
  <c r="E508" i="1"/>
  <c r="E509" i="1"/>
  <c r="E511" i="1"/>
  <c r="E512" i="1"/>
  <c r="E513" i="1"/>
  <c r="E515" i="1"/>
  <c r="E516" i="1"/>
  <c r="E517" i="1"/>
  <c r="E521" i="1"/>
  <c r="E522" i="1"/>
  <c r="E527" i="1"/>
  <c r="E529" i="1"/>
  <c r="E532" i="1"/>
  <c r="E533" i="1"/>
  <c r="E534" i="1"/>
  <c r="E535" i="1"/>
  <c r="E536" i="1"/>
  <c r="E543" i="1"/>
  <c r="E544" i="1"/>
  <c r="E545" i="1"/>
  <c r="E547" i="1"/>
  <c r="E548" i="1"/>
  <c r="E549" i="1"/>
  <c r="E550" i="1"/>
  <c r="E552" i="1"/>
  <c r="E554" i="1"/>
  <c r="E555" i="1"/>
  <c r="E556" i="1"/>
  <c r="E557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83" i="1"/>
  <c r="E585" i="1"/>
  <c r="E586" i="1"/>
  <c r="E591" i="1"/>
  <c r="E596" i="1"/>
  <c r="E598" i="1"/>
  <c r="E599" i="1"/>
  <c r="E600" i="1"/>
  <c r="E603" i="1"/>
  <c r="E604" i="1"/>
  <c r="E605" i="1"/>
  <c r="E606" i="1"/>
  <c r="E608" i="1"/>
  <c r="E609" i="1"/>
  <c r="E610" i="1"/>
  <c r="E611" i="1"/>
  <c r="E613" i="1"/>
  <c r="E615" i="1"/>
  <c r="E616" i="1"/>
  <c r="E617" i="1"/>
  <c r="E618" i="1"/>
  <c r="E619" i="1"/>
  <c r="E620" i="1"/>
  <c r="E623" i="1"/>
  <c r="E630" i="1"/>
  <c r="E632" i="1"/>
  <c r="E633" i="1"/>
  <c r="E634" i="1"/>
  <c r="E635" i="1"/>
  <c r="E636" i="1"/>
  <c r="E642" i="1"/>
  <c r="E650" i="1"/>
  <c r="E651" i="1"/>
  <c r="E652" i="1"/>
  <c r="E654" i="1"/>
  <c r="E655" i="1"/>
  <c r="E656" i="1"/>
  <c r="E657" i="1"/>
  <c r="E658" i="1"/>
  <c r="E659" i="1"/>
  <c r="E660" i="1"/>
  <c r="E661" i="1"/>
  <c r="E662" i="1"/>
  <c r="E664" i="1"/>
  <c r="E665" i="1"/>
  <c r="E666" i="1"/>
  <c r="E668" i="1"/>
  <c r="E670" i="1"/>
  <c r="E671" i="1"/>
  <c r="E672" i="1"/>
  <c r="E673" i="1"/>
  <c r="E674" i="1"/>
  <c r="E675" i="1"/>
  <c r="E676" i="1"/>
  <c r="E677" i="1"/>
  <c r="E679" i="1"/>
  <c r="E681" i="1"/>
  <c r="E690" i="1"/>
  <c r="E691" i="1"/>
  <c r="E693" i="1"/>
  <c r="E694" i="1"/>
  <c r="E701" i="1"/>
  <c r="E702" i="1"/>
  <c r="E703" i="1"/>
  <c r="E705" i="1"/>
  <c r="E706" i="1"/>
  <c r="E710" i="1"/>
  <c r="E714" i="1"/>
  <c r="E716" i="1"/>
  <c r="E717" i="1"/>
  <c r="E719" i="1"/>
  <c r="E723" i="1"/>
  <c r="E725" i="1"/>
  <c r="E728" i="1"/>
  <c r="E729" i="1"/>
  <c r="E730" i="1"/>
  <c r="E731" i="1"/>
  <c r="E733" i="1"/>
  <c r="E734" i="1"/>
  <c r="E736" i="1"/>
  <c r="E737" i="1"/>
  <c r="E738" i="1"/>
  <c r="E741" i="1"/>
  <c r="E742" i="1"/>
  <c r="E743" i="1"/>
  <c r="E744" i="1"/>
  <c r="E745" i="1"/>
  <c r="E746" i="1"/>
  <c r="E748" i="1"/>
  <c r="E749" i="1"/>
  <c r="E750" i="1"/>
  <c r="E751" i="1"/>
  <c r="E754" i="1"/>
  <c r="E755" i="1"/>
  <c r="E756" i="1"/>
  <c r="E758" i="1"/>
  <c r="E759" i="1"/>
  <c r="E760" i="1"/>
  <c r="E762" i="1"/>
  <c r="E763" i="1"/>
  <c r="E764" i="1"/>
  <c r="E765" i="1"/>
  <c r="E766" i="1"/>
  <c r="E767" i="1"/>
  <c r="E768" i="1"/>
  <c r="E771" i="1"/>
  <c r="E773" i="1"/>
  <c r="E774" i="1"/>
  <c r="E775" i="1"/>
  <c r="E776" i="1"/>
  <c r="E777" i="1"/>
  <c r="E779" i="1"/>
  <c r="E781" i="1"/>
  <c r="E782" i="1"/>
  <c r="E783" i="1"/>
  <c r="E784" i="1"/>
  <c r="E785" i="1"/>
  <c r="E786" i="1"/>
  <c r="E788" i="1"/>
  <c r="E790" i="1"/>
  <c r="E791" i="1"/>
  <c r="E794" i="1"/>
  <c r="E795" i="1"/>
  <c r="E796" i="1"/>
  <c r="E797" i="1"/>
  <c r="E798" i="1"/>
  <c r="E799" i="1"/>
  <c r="E801" i="1"/>
  <c r="E802" i="1"/>
  <c r="E803" i="1"/>
  <c r="E806" i="1"/>
  <c r="E807" i="1"/>
  <c r="E809" i="1"/>
  <c r="E810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5" i="1"/>
  <c r="E826" i="1"/>
  <c r="E827" i="1"/>
  <c r="E828" i="1"/>
  <c r="E832" i="1"/>
  <c r="E834" i="1"/>
  <c r="E835" i="1"/>
  <c r="E836" i="1"/>
  <c r="E838" i="1"/>
  <c r="E839" i="1"/>
  <c r="E840" i="1"/>
  <c r="E841" i="1"/>
  <c r="E844" i="1"/>
  <c r="E845" i="1"/>
  <c r="E846" i="1"/>
  <c r="E848" i="1"/>
  <c r="E849" i="1"/>
  <c r="E854" i="1"/>
  <c r="E858" i="1"/>
  <c r="E863" i="1"/>
  <c r="E866" i="1"/>
  <c r="E868" i="1"/>
  <c r="E869" i="1"/>
  <c r="E872" i="1"/>
  <c r="E873" i="1"/>
  <c r="E874" i="1"/>
  <c r="E875" i="1"/>
  <c r="E876" i="1"/>
  <c r="E877" i="1"/>
  <c r="E878" i="1"/>
  <c r="E879" i="1"/>
  <c r="E880" i="1"/>
  <c r="E881" i="1"/>
  <c r="E882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9" i="1"/>
  <c r="E900" i="1"/>
  <c r="E901" i="1"/>
  <c r="E902" i="1"/>
  <c r="E903" i="1"/>
  <c r="E904" i="1"/>
  <c r="E905" i="1"/>
  <c r="E906" i="1"/>
  <c r="E911" i="1"/>
  <c r="E912" i="1"/>
  <c r="E913" i="1"/>
  <c r="E914" i="1"/>
  <c r="E915" i="1"/>
  <c r="E916" i="1"/>
  <c r="E917" i="1"/>
  <c r="E918" i="1"/>
  <c r="E919" i="1"/>
  <c r="E920" i="1"/>
  <c r="E922" i="1"/>
  <c r="E923" i="1"/>
  <c r="E925" i="1"/>
  <c r="E928" i="1"/>
  <c r="E929" i="1"/>
  <c r="E930" i="1"/>
  <c r="E931" i="1"/>
  <c r="E932" i="1"/>
  <c r="E933" i="1"/>
  <c r="E934" i="1"/>
  <c r="E935" i="1"/>
  <c r="E936" i="1"/>
  <c r="E938" i="1"/>
  <c r="E940" i="1"/>
  <c r="E941" i="1"/>
  <c r="E942" i="1"/>
  <c r="E943" i="1"/>
  <c r="E944" i="1"/>
  <c r="E945" i="1"/>
  <c r="E946" i="1"/>
  <c r="E947" i="1"/>
  <c r="E948" i="1"/>
  <c r="E950" i="1"/>
  <c r="E951" i="1"/>
  <c r="E953" i="1"/>
  <c r="E954" i="1"/>
  <c r="E955" i="1"/>
  <c r="E959" i="1"/>
  <c r="E961" i="1"/>
  <c r="E962" i="1"/>
  <c r="E963" i="1"/>
  <c r="E964" i="1"/>
  <c r="E965" i="1"/>
  <c r="E966" i="1"/>
  <c r="E967" i="1"/>
  <c r="E968" i="1"/>
  <c r="E970" i="1"/>
  <c r="E971" i="1"/>
  <c r="E972" i="1"/>
  <c r="E973" i="1"/>
  <c r="E974" i="1"/>
  <c r="E976" i="1"/>
  <c r="E978" i="1"/>
  <c r="E979" i="1"/>
  <c r="E980" i="1"/>
  <c r="E981" i="1"/>
  <c r="E982" i="1"/>
  <c r="E983" i="1"/>
  <c r="E984" i="1"/>
  <c r="E985" i="1"/>
  <c r="E987" i="1"/>
  <c r="E988" i="1"/>
  <c r="E989" i="1"/>
  <c r="E990" i="1"/>
  <c r="E991" i="1"/>
  <c r="E992" i="1"/>
  <c r="E993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15" i="1"/>
  <c r="E1016" i="1"/>
  <c r="E1017" i="1"/>
  <c r="E1018" i="1"/>
  <c r="E1019" i="1"/>
  <c r="E1021" i="1"/>
  <c r="E1022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7" i="1"/>
  <c r="E1038" i="1"/>
  <c r="E1040" i="1"/>
  <c r="E1043" i="1"/>
  <c r="E1044" i="1"/>
  <c r="E1045" i="1"/>
  <c r="E1046" i="1"/>
  <c r="E1049" i="1"/>
  <c r="E1050" i="1"/>
  <c r="E1051" i="1"/>
  <c r="E1052" i="1"/>
  <c r="E1053" i="1"/>
  <c r="E1054" i="1"/>
  <c r="E1056" i="1"/>
  <c r="E1058" i="1"/>
  <c r="E1059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9" i="1"/>
  <c r="E1083" i="1"/>
  <c r="E1084" i="1"/>
  <c r="E1085" i="1"/>
  <c r="E1086" i="1"/>
  <c r="E1088" i="1"/>
  <c r="E1089" i="1"/>
  <c r="E1090" i="1"/>
  <c r="E1091" i="1"/>
  <c r="E1093" i="1"/>
  <c r="E1094" i="1"/>
  <c r="E1095" i="1"/>
  <c r="E1096" i="1"/>
  <c r="E1097" i="1"/>
  <c r="E1098" i="1"/>
  <c r="E1099" i="1"/>
  <c r="E1101" i="1"/>
  <c r="E1102" i="1"/>
  <c r="E1103" i="1"/>
  <c r="E1104" i="1"/>
  <c r="E1106" i="1"/>
  <c r="E1107" i="1"/>
  <c r="E1108" i="1"/>
  <c r="E1109" i="1"/>
  <c r="E1110" i="1"/>
  <c r="E1111" i="1"/>
  <c r="E1112" i="1"/>
  <c r="E1114" i="1"/>
  <c r="E1118" i="1"/>
  <c r="E1120" i="1"/>
  <c r="E1121" i="1"/>
  <c r="E1122" i="1"/>
  <c r="E1123" i="1"/>
  <c r="E1125" i="1"/>
  <c r="E1126" i="1"/>
  <c r="E1127" i="1"/>
  <c r="E1130" i="1"/>
  <c r="E1131" i="1"/>
  <c r="E1132" i="1"/>
  <c r="E1133" i="1"/>
  <c r="E1134" i="1"/>
  <c r="E1135" i="1"/>
  <c r="E1136" i="1"/>
  <c r="E1137" i="1"/>
  <c r="E1138" i="1"/>
  <c r="E1139" i="1"/>
  <c r="E1141" i="1"/>
  <c r="E1142" i="1"/>
  <c r="E1143" i="1"/>
  <c r="E1144" i="1"/>
  <c r="E1145" i="1"/>
  <c r="E1146" i="1"/>
  <c r="E1147" i="1"/>
  <c r="E1148" i="1"/>
  <c r="E1149" i="1"/>
  <c r="E1150" i="1"/>
  <c r="E1152" i="1"/>
  <c r="E1153" i="1"/>
  <c r="E1154" i="1"/>
  <c r="E1156" i="1"/>
  <c r="E1163" i="1"/>
  <c r="E1164" i="1"/>
  <c r="E1166" i="1"/>
  <c r="E1167" i="1"/>
  <c r="E1168" i="1"/>
  <c r="E1169" i="1"/>
  <c r="E1170" i="1"/>
  <c r="E1171" i="1"/>
  <c r="E1172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3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9" i="1"/>
  <c r="E1210" i="1"/>
  <c r="E1211" i="1"/>
  <c r="E1212" i="1"/>
  <c r="E1213" i="1"/>
  <c r="E1214" i="1"/>
  <c r="E1215" i="1"/>
  <c r="E1219" i="1"/>
  <c r="E1226" i="1"/>
  <c r="E1227" i="1"/>
  <c r="E1228" i="1"/>
  <c r="E1231" i="1"/>
  <c r="E1232" i="1"/>
  <c r="E1233" i="1"/>
  <c r="E1234" i="1"/>
  <c r="E1235" i="1"/>
  <c r="E1236" i="1"/>
  <c r="E1237" i="1"/>
  <c r="E1238" i="1"/>
  <c r="E1241" i="1"/>
  <c r="E1242" i="1"/>
  <c r="E1243" i="1"/>
  <c r="E1244" i="1"/>
  <c r="E1246" i="1"/>
  <c r="E1247" i="1"/>
  <c r="E1249" i="1"/>
  <c r="E1252" i="1"/>
  <c r="E1253" i="1"/>
  <c r="E1257" i="1"/>
  <c r="E1261" i="1"/>
  <c r="E1264" i="1"/>
  <c r="E1265" i="1"/>
  <c r="E1268" i="1"/>
  <c r="E1270" i="1"/>
  <c r="E1271" i="1"/>
  <c r="E1273" i="1"/>
  <c r="E1274" i="1"/>
  <c r="E1277" i="1"/>
  <c r="E1278" i="1"/>
  <c r="E1279" i="1"/>
  <c r="E1280" i="1"/>
  <c r="E1283" i="1"/>
  <c r="E1284" i="1"/>
  <c r="E1287" i="1"/>
  <c r="E1289" i="1"/>
  <c r="E1290" i="1"/>
  <c r="E1291" i="1"/>
  <c r="E1292" i="1"/>
  <c r="E1293" i="1"/>
  <c r="E1294" i="1"/>
  <c r="E1295" i="1"/>
  <c r="E1296" i="1"/>
  <c r="E1297" i="1"/>
  <c r="E1299" i="1"/>
  <c r="E1300" i="1"/>
  <c r="E1301" i="1"/>
  <c r="E1303" i="1"/>
  <c r="E1304" i="1"/>
  <c r="E1305" i="1"/>
  <c r="E1308" i="1"/>
  <c r="E1309" i="1"/>
  <c r="E1310" i="1"/>
  <c r="E1311" i="1"/>
  <c r="E1313" i="1"/>
  <c r="E1314" i="1"/>
  <c r="E1318" i="1"/>
  <c r="E1319" i="1"/>
  <c r="E1321" i="1"/>
  <c r="E1322" i="1"/>
  <c r="E1324" i="1"/>
  <c r="E1325" i="1"/>
  <c r="E1328" i="1"/>
  <c r="E1331" i="1"/>
  <c r="E1332" i="1"/>
  <c r="E1333" i="1"/>
  <c r="E1334" i="1"/>
  <c r="E1335" i="1"/>
  <c r="E1336" i="1"/>
  <c r="E1337" i="1"/>
  <c r="E1341" i="1"/>
  <c r="E1342" i="1"/>
  <c r="E1343" i="1"/>
  <c r="E1344" i="1"/>
</calcChain>
</file>

<file path=xl/sharedStrings.xml><?xml version="1.0" encoding="utf-8"?>
<sst xmlns="http://schemas.openxmlformats.org/spreadsheetml/2006/main" count="3992" uniqueCount="3497">
  <si>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</si>
  <si>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</si>
  <si>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</si>
  <si>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</si>
  <si>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</si>
  <si>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</si>
  <si>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</si>
  <si>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</si>
  <si>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</si>
  <si>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1994</t>
  </si>
  <si>
    <t>1463</t>
  </si>
  <si>
    <t>1767</t>
  </si>
  <si>
    <t>0111</t>
  </si>
  <si>
    <t>0259</t>
  </si>
  <si>
    <t>0332</t>
  </si>
  <si>
    <t>0697</t>
  </si>
  <si>
    <t>0740</t>
  </si>
  <si>
    <t>0762</t>
  </si>
  <si>
    <t>1422</t>
  </si>
  <si>
    <t>1902</t>
  </si>
  <si>
    <t>2174</t>
  </si>
  <si>
    <t>2199</t>
  </si>
  <si>
    <t>2213</t>
  </si>
  <si>
    <t>2286</t>
  </si>
  <si>
    <t>0007</t>
  </si>
  <si>
    <t>0028</t>
  </si>
  <si>
    <t>0073</t>
  </si>
  <si>
    <t>0115</t>
  </si>
  <si>
    <t>0133</t>
  </si>
  <si>
    <t>0135</t>
  </si>
  <si>
    <t>0147</t>
  </si>
  <si>
    <t>0181</t>
  </si>
  <si>
    <t>0374</t>
  </si>
  <si>
    <t>0441</t>
  </si>
  <si>
    <t>0685</t>
  </si>
  <si>
    <t>0897</t>
  </si>
  <si>
    <t>1054</t>
  </si>
  <si>
    <t>1057</t>
  </si>
  <si>
    <t>1102</t>
  </si>
  <si>
    <t>1114</t>
  </si>
  <si>
    <t>1162</t>
  </si>
  <si>
    <t>1251</t>
  </si>
  <si>
    <t>1256</t>
  </si>
  <si>
    <t>1297</t>
  </si>
  <si>
    <t>1404</t>
  </si>
  <si>
    <t>1438</t>
  </si>
  <si>
    <t>1456</t>
  </si>
  <si>
    <t>1467</t>
  </si>
  <si>
    <t>1482</t>
  </si>
  <si>
    <t>1590</t>
  </si>
  <si>
    <t>1622</t>
  </si>
  <si>
    <t>1632</t>
  </si>
  <si>
    <t>1679</t>
  </si>
  <si>
    <t>1736</t>
  </si>
  <si>
    <t>1774</t>
  </si>
  <si>
    <t>1795</t>
  </si>
  <si>
    <t>1807</t>
  </si>
  <si>
    <t>1808</t>
  </si>
  <si>
    <t>1809</t>
  </si>
  <si>
    <t>1820</t>
  </si>
  <si>
    <t>1835</t>
  </si>
  <si>
    <t>1843</t>
  </si>
  <si>
    <t>1864</t>
  </si>
  <si>
    <t>1881</t>
  </si>
  <si>
    <t>2100</t>
  </si>
  <si>
    <t>2147</t>
  </si>
  <si>
    <t>2150</t>
  </si>
  <si>
    <t>2164</t>
  </si>
  <si>
    <t>2227</t>
  </si>
  <si>
    <t>2249</t>
  </si>
  <si>
    <t>2269</t>
  </si>
  <si>
    <t>2275</t>
  </si>
  <si>
    <t>2285</t>
  </si>
  <si>
    <t>2287</t>
  </si>
  <si>
    <t>2534</t>
  </si>
  <si>
    <t>NO56
ｶﾀﾛｸﾞﾍﾟｰｼﾞ</t>
    <phoneticPr fontId="3"/>
  </si>
  <si>
    <t>0100</t>
  </si>
  <si>
    <t>0132</t>
  </si>
  <si>
    <t>0187</t>
  </si>
  <si>
    <t>0245</t>
  </si>
  <si>
    <t>0300</t>
  </si>
  <si>
    <t>0412</t>
  </si>
  <si>
    <t>0595</t>
  </si>
  <si>
    <t>0735</t>
  </si>
  <si>
    <t>電線ゲージ</t>
  </si>
  <si>
    <t>0789</t>
  </si>
  <si>
    <t>0858</t>
  </si>
  <si>
    <t>0924</t>
  </si>
  <si>
    <t>0951</t>
  </si>
  <si>
    <t>0987</t>
  </si>
  <si>
    <t>0996</t>
  </si>
  <si>
    <t>1018</t>
  </si>
  <si>
    <t>1045</t>
  </si>
  <si>
    <t>1510</t>
  </si>
  <si>
    <t>1512</t>
  </si>
  <si>
    <t>1550</t>
  </si>
  <si>
    <t>1737</t>
  </si>
  <si>
    <t>1740</t>
  </si>
  <si>
    <t>1751</t>
  </si>
  <si>
    <t>1754</t>
  </si>
  <si>
    <t>1769</t>
  </si>
  <si>
    <t>1783</t>
  </si>
  <si>
    <t>1794</t>
  </si>
  <si>
    <t>1905</t>
  </si>
  <si>
    <t>1909</t>
  </si>
  <si>
    <t>1919</t>
  </si>
  <si>
    <t>1946</t>
  </si>
  <si>
    <t>1971</t>
  </si>
  <si>
    <t>2005</t>
  </si>
  <si>
    <t>2011</t>
  </si>
  <si>
    <t>2047</t>
  </si>
  <si>
    <t>2098</t>
  </si>
  <si>
    <t>2130</t>
  </si>
  <si>
    <t>2166</t>
  </si>
  <si>
    <t>2200</t>
  </si>
  <si>
    <t>2232</t>
  </si>
  <si>
    <t>2248</t>
  </si>
  <si>
    <t>2252</t>
  </si>
  <si>
    <t>2290</t>
  </si>
  <si>
    <t>2357</t>
  </si>
  <si>
    <t>2378</t>
  </si>
  <si>
    <t>2393</t>
  </si>
  <si>
    <t>2455</t>
  </si>
  <si>
    <t>0064</t>
  </si>
  <si>
    <t>0066</t>
  </si>
  <si>
    <t>0086</t>
  </si>
  <si>
    <t>0093</t>
  </si>
  <si>
    <t>0101</t>
  </si>
  <si>
    <t>0105</t>
  </si>
  <si>
    <t>0112</t>
  </si>
  <si>
    <t>0113</t>
  </si>
  <si>
    <t>0145</t>
  </si>
  <si>
    <t>0154</t>
  </si>
  <si>
    <t>0159</t>
  </si>
  <si>
    <t>0177</t>
  </si>
  <si>
    <t>0182</t>
  </si>
  <si>
    <t>0184</t>
  </si>
  <si>
    <t>0193</t>
  </si>
  <si>
    <t>0194</t>
  </si>
  <si>
    <t>0196</t>
  </si>
  <si>
    <t>0258</t>
  </si>
  <si>
    <t>0270</t>
  </si>
  <si>
    <t>0275</t>
  </si>
  <si>
    <t>AC100V 自動充電器</t>
  </si>
  <si>
    <t>0277</t>
  </si>
  <si>
    <t>0280</t>
  </si>
  <si>
    <t>0306</t>
  </si>
  <si>
    <t>0343</t>
  </si>
  <si>
    <t>0359</t>
  </si>
  <si>
    <t>0363</t>
  </si>
  <si>
    <t>0368</t>
  </si>
  <si>
    <t>0373</t>
  </si>
  <si>
    <t>3/8"DRx200mm ラチェットハンドル</t>
  </si>
  <si>
    <t>0433</t>
  </si>
  <si>
    <t>0436</t>
  </si>
  <si>
    <t>0465</t>
  </si>
  <si>
    <t>0473</t>
  </si>
  <si>
    <t>0474</t>
  </si>
  <si>
    <t>0486</t>
  </si>
  <si>
    <t>0489</t>
  </si>
  <si>
    <t>0494</t>
  </si>
  <si>
    <t>0495</t>
  </si>
  <si>
    <t>0496</t>
  </si>
  <si>
    <t>0508</t>
  </si>
  <si>
    <t>0537</t>
  </si>
  <si>
    <t>0557</t>
  </si>
  <si>
    <t>#2x152mm [+]ドライバービット(ﾀﾞｲﾔﾓﾝﾄﾞ付)</t>
  </si>
  <si>
    <t>0562</t>
  </si>
  <si>
    <t>0564</t>
  </si>
  <si>
    <t>0577</t>
  </si>
  <si>
    <t>0587</t>
  </si>
  <si>
    <t>200mm 鉄工やすり(平/中目)</t>
  </si>
  <si>
    <t>0598</t>
  </si>
  <si>
    <t>0608</t>
  </si>
  <si>
    <t>0611</t>
  </si>
  <si>
    <t>0631</t>
  </si>
  <si>
    <t>0666</t>
  </si>
  <si>
    <t>0691</t>
  </si>
  <si>
    <t>0698</t>
  </si>
  <si>
    <t>0704</t>
  </si>
  <si>
    <t>0729</t>
  </si>
  <si>
    <t>0746</t>
  </si>
  <si>
    <t>0753</t>
  </si>
  <si>
    <t>0813</t>
  </si>
  <si>
    <t>DC18.0V インパクトドライバー(充電式)</t>
  </si>
  <si>
    <t>0839</t>
  </si>
  <si>
    <t>0848</t>
  </si>
  <si>
    <t>0887</t>
  </si>
  <si>
    <t>0891</t>
  </si>
  <si>
    <t>0893</t>
  </si>
  <si>
    <t>0895</t>
  </si>
  <si>
    <t>0926</t>
  </si>
  <si>
    <t>0929</t>
  </si>
  <si>
    <t>0935</t>
  </si>
  <si>
    <t>1000</t>
  </si>
  <si>
    <t>1011</t>
  </si>
  <si>
    <t>100mm/M10 ワイヤーホイール(ｽﾁｰﾙ製/ﾂｲｽﾄ)</t>
  </si>
  <si>
    <t>1017</t>
  </si>
  <si>
    <t>1027</t>
  </si>
  <si>
    <t>Rc 3/8" エアーレギュレーター(ﾌﾞﾗｹｯﾄ付)</t>
  </si>
  <si>
    <t>1078</t>
  </si>
  <si>
    <t>1108</t>
  </si>
  <si>
    <t>1135</t>
  </si>
  <si>
    <t>1144</t>
  </si>
  <si>
    <t>1159</t>
  </si>
  <si>
    <t>1160</t>
  </si>
  <si>
    <t>1173</t>
  </si>
  <si>
    <t>1179</t>
  </si>
  <si>
    <t>1186</t>
  </si>
  <si>
    <t>1203</t>
  </si>
  <si>
    <t>1208</t>
  </si>
  <si>
    <t>1227</t>
  </si>
  <si>
    <t>1239</t>
  </si>
  <si>
    <t>1253</t>
  </si>
  <si>
    <t>1254</t>
  </si>
  <si>
    <t>1255</t>
  </si>
  <si>
    <t>1259</t>
  </si>
  <si>
    <t>1287</t>
  </si>
  <si>
    <t>1364</t>
  </si>
  <si>
    <t>1368</t>
  </si>
  <si>
    <t>1378</t>
  </si>
  <si>
    <t>1386</t>
  </si>
  <si>
    <t>1405</t>
  </si>
  <si>
    <t>1413</t>
  </si>
  <si>
    <t>1418</t>
  </si>
  <si>
    <t>1426</t>
  </si>
  <si>
    <t>1428</t>
  </si>
  <si>
    <t>1432</t>
  </si>
  <si>
    <t>1475</t>
  </si>
  <si>
    <t>1511</t>
  </si>
  <si>
    <t>1515</t>
  </si>
  <si>
    <t>1534</t>
  </si>
  <si>
    <t>1545</t>
  </si>
  <si>
    <t>1553</t>
  </si>
  <si>
    <t>1566</t>
  </si>
  <si>
    <t>1583</t>
  </si>
  <si>
    <t>1587</t>
  </si>
  <si>
    <t>1613</t>
  </si>
  <si>
    <t>1617</t>
  </si>
  <si>
    <t>1631</t>
  </si>
  <si>
    <t>1696</t>
  </si>
  <si>
    <t>1741</t>
  </si>
  <si>
    <t>125mm キャスター(固定金具)</t>
  </si>
  <si>
    <t>1747</t>
  </si>
  <si>
    <t>1766</t>
  </si>
  <si>
    <t>1776</t>
  </si>
  <si>
    <t>1778</t>
  </si>
  <si>
    <t>1779</t>
  </si>
  <si>
    <t>1797</t>
  </si>
  <si>
    <t>1816</t>
  </si>
  <si>
    <t>1840</t>
  </si>
  <si>
    <t>1845</t>
  </si>
  <si>
    <t>1872</t>
  </si>
  <si>
    <t>1878</t>
  </si>
  <si>
    <t>1879</t>
  </si>
  <si>
    <t>1884</t>
  </si>
  <si>
    <t>1887</t>
  </si>
  <si>
    <t>1898</t>
  </si>
  <si>
    <t>1911</t>
  </si>
  <si>
    <t>1926</t>
  </si>
  <si>
    <t>1932</t>
  </si>
  <si>
    <t>1933</t>
  </si>
  <si>
    <t>1960</t>
  </si>
  <si>
    <t>1963</t>
  </si>
  <si>
    <t>1972</t>
  </si>
  <si>
    <t>1996</t>
  </si>
  <si>
    <t>2006</t>
  </si>
  <si>
    <t>2016</t>
  </si>
  <si>
    <t>2029</t>
  </si>
  <si>
    <t>2046</t>
  </si>
  <si>
    <t>2062</t>
  </si>
  <si>
    <t>2070</t>
  </si>
  <si>
    <t>2072</t>
  </si>
  <si>
    <t>2073</t>
  </si>
  <si>
    <t>2092</t>
  </si>
  <si>
    <t>2099</t>
  </si>
  <si>
    <t>2117</t>
  </si>
  <si>
    <t>2126</t>
  </si>
  <si>
    <t>2143</t>
  </si>
  <si>
    <t>2145</t>
  </si>
  <si>
    <t>2148</t>
  </si>
  <si>
    <t>2154</t>
  </si>
  <si>
    <t>2162</t>
  </si>
  <si>
    <t>2171</t>
  </si>
  <si>
    <t>2175</t>
  </si>
  <si>
    <t>2181</t>
  </si>
  <si>
    <t>2184</t>
  </si>
  <si>
    <t>400ml アルコール除菌スプレー</t>
  </si>
  <si>
    <t>2223</t>
  </si>
  <si>
    <t>[Ｌ] メカニクスグローブ(合成革/灰)</t>
  </si>
  <si>
    <t>2271</t>
  </si>
  <si>
    <t>2273</t>
  </si>
  <si>
    <t>2284</t>
  </si>
  <si>
    <t>2288</t>
  </si>
  <si>
    <t>安全ベスト(黄)</t>
  </si>
  <si>
    <t>2291</t>
  </si>
  <si>
    <t>2293</t>
  </si>
  <si>
    <t>2308</t>
  </si>
  <si>
    <t>2320</t>
  </si>
  <si>
    <t>2330</t>
  </si>
  <si>
    <t>2350</t>
  </si>
  <si>
    <t>2355</t>
  </si>
  <si>
    <t>2360</t>
  </si>
  <si>
    <t>2391</t>
  </si>
  <si>
    <t>2398</t>
  </si>
  <si>
    <t>2409</t>
  </si>
  <si>
    <t>2432</t>
  </si>
  <si>
    <t>2447</t>
  </si>
  <si>
    <t>2464</t>
  </si>
  <si>
    <t>2475</t>
  </si>
  <si>
    <t>2476</t>
  </si>
  <si>
    <t>AC100V/1170W 掃除機(紙ﾊﾟｯｸ式)</t>
  </si>
  <si>
    <t>2515</t>
  </si>
  <si>
    <t>2521</t>
  </si>
  <si>
    <t>2541</t>
  </si>
  <si>
    <t>2590</t>
  </si>
  <si>
    <t>EA109NX-31</t>
  </si>
  <si>
    <t>114x305mm(19mm) ローラー刷毛セット</t>
  </si>
  <si>
    <t>EA521VP-202B</t>
  </si>
  <si>
    <t>EA611BK-20</t>
  </si>
  <si>
    <t>5本組/2.5-6.0mm [Ball Hexagon]ビット</t>
  </si>
  <si>
    <t>EA611GA-151A</t>
  </si>
  <si>
    <t>#1x152mm  [+]ドライバービット</t>
  </si>
  <si>
    <t>EA612AC-19</t>
  </si>
  <si>
    <t>19mm 電ドルソケット(ｻｰﾌｪｲｽ)</t>
  </si>
  <si>
    <t>EA614LP-8</t>
  </si>
  <si>
    <t>8x150mm ギアレンチ(ﾛﾝｸﾞｻｲｽﾞ)</t>
  </si>
  <si>
    <t>EA614LP-10</t>
  </si>
  <si>
    <t>10x180mm ギアレンチ(ﾛﾝｸﾞｻｲｽﾞ)</t>
  </si>
  <si>
    <t>EA614LP-13</t>
  </si>
  <si>
    <t>13x220mm ギアレンチ(ﾛﾝｸﾞｻｲｽﾞ)</t>
  </si>
  <si>
    <t>EA642PA-3</t>
  </si>
  <si>
    <t>125x525mm ゴムベラ(ﾉﾝｽﾊﾟｰｷﾝｸﾞ)</t>
  </si>
  <si>
    <t>EA689SV-1</t>
  </si>
  <si>
    <t>[85個組]ツールワゴン付工具セット(ﾄﾚｰ入)</t>
  </si>
  <si>
    <t>EA689SZ-1</t>
  </si>
  <si>
    <t>[213個組]ツールワゴン付工具セット(ﾄﾚｰ入)</t>
  </si>
  <si>
    <t>EA723KV-1</t>
  </si>
  <si>
    <t>1-  5Nm ﾄﾙｸﾄﾞﾗｲﾊﾞｰ(ｱｼﾞｬｽﾀﾌﾞﾙ/充電式)</t>
  </si>
  <si>
    <t>EA759GN-267A</t>
  </si>
  <si>
    <t>64GB microSDHCカード(車載用)</t>
  </si>
  <si>
    <t>EA759GN-268A</t>
  </si>
  <si>
    <t>128GB microSDHCカード(車載用)</t>
  </si>
  <si>
    <t>EA759X-50</t>
  </si>
  <si>
    <t>B5-A4 モバイルプリンター(5色)</t>
  </si>
  <si>
    <t>EA763AG-43</t>
  </si>
  <si>
    <t>AC100V/1200W ﾍｱｰﾄﾞﾗｲﾔｰ(ﾏｲﾅｽｲｵﾝ/ﾎﾜｲﾄ)</t>
  </si>
  <si>
    <t>EA763AM-18R</t>
  </si>
  <si>
    <t>AC100V/1450W オーブンレンジ</t>
  </si>
  <si>
    <t>EA763AY-8H</t>
  </si>
  <si>
    <t>AC100V/985W/13畳 スチーム式加湿器</t>
  </si>
  <si>
    <t>EA896B-12A</t>
  </si>
  <si>
    <t>C100V/内径φ20-400mm ベアリングヒーター</t>
  </si>
  <si>
    <t>EB330B-2</t>
  </si>
  <si>
    <t>[EA330B用] ホ－スジョイント</t>
  </si>
  <si>
    <t>EB809YP-22</t>
  </si>
  <si>
    <t>100mm/5/8"-11UNC ﾜｲﾔｰﾌﾞﾗｼ(ﾎｲｰﾙ型/ｽﾃﾚﾝｽ)</t>
  </si>
  <si>
    <t>EA612SB-55</t>
  </si>
  <si>
    <t>[48個組] 工具セット</t>
  </si>
  <si>
    <t>0011</t>
  </si>
  <si>
    <t>EA202RA</t>
  </si>
  <si>
    <t>1/4"-1･1/8" ミニチューブカッター</t>
  </si>
  <si>
    <t>0017</t>
  </si>
  <si>
    <t>EA401D-31</t>
  </si>
  <si>
    <t>3/16"･ 1/4" ･ 5/16" ﾁｭｰﾌﾞﾋﾟｱｼﾝｸﾞﾊﾞﾙﾌﾞ</t>
  </si>
  <si>
    <t>EA401D-32</t>
  </si>
  <si>
    <t>3/8" ･ 1/2" ･ 5/8"  ﾁｭｰﾌﾞﾋﾟｱｼﾝｸﾞﾊﾞﾙﾌﾞ</t>
  </si>
  <si>
    <t>0026</t>
  </si>
  <si>
    <t>EA443M-45</t>
  </si>
  <si>
    <t>NPT1/2"x F5/8" ハーフユニオン(NPT-Flare)</t>
  </si>
  <si>
    <t>EA495MG-3</t>
  </si>
  <si>
    <t>3/8" ヒートポンプドライヤー(ﾛｳ付)</t>
  </si>
  <si>
    <t>0036</t>
  </si>
  <si>
    <t>EA471GK-20</t>
  </si>
  <si>
    <t>#20 接続ｱﾀﾞﾌﾟﾀｰ(VP-ACﾄﾞﾚﾝﾊﾟｲﾌﾟ/ｱｲﾎﾞﾘｰ)</t>
  </si>
  <si>
    <t>0038</t>
  </si>
  <si>
    <t>EA810JC-5</t>
  </si>
  <si>
    <t>3/8"s M10x1000mm (SDSﾌﾟﾗｽ)ｱﾝｶｰ打ち込み棒</t>
  </si>
  <si>
    <t>EA945BV-31</t>
  </si>
  <si>
    <t>W3/8x40mm 雌ねじアンカー (ｽﾃﾝﾚｽ製/50本)</t>
  </si>
  <si>
    <t>0040</t>
  </si>
  <si>
    <t>EA997MM-1</t>
  </si>
  <si>
    <t>360x350mm 屋外フード(防鳥網付)</t>
  </si>
  <si>
    <t>0051</t>
  </si>
  <si>
    <t>EA115MM-13</t>
  </si>
  <si>
    <t>15.1L ハンドスプレー(背負型)</t>
  </si>
  <si>
    <t>0057</t>
  </si>
  <si>
    <t>EA901N-27</t>
  </si>
  <si>
    <t>50kg/0.25-2.7m エアコンリフト</t>
  </si>
  <si>
    <t>EA905EC-330B</t>
  </si>
  <si>
    <t>3.5/7.0m 梯子兼用脚立(伸縮式)</t>
  </si>
  <si>
    <t>0059</t>
  </si>
  <si>
    <t>EA763F-72</t>
  </si>
  <si>
    <t>230x230x560mm/37W  タワーファン</t>
  </si>
  <si>
    <t>EA897AN-31</t>
  </si>
  <si>
    <t>AC100V/ 450mm ミストファン</t>
  </si>
  <si>
    <t>0060</t>
  </si>
  <si>
    <t>EA897AN-17</t>
  </si>
  <si>
    <t>AC100V･ 72W 送風機(強･弱2段)</t>
  </si>
  <si>
    <t>0062</t>
  </si>
  <si>
    <t>EA897E-50BA</t>
  </si>
  <si>
    <t>三相200V/400W/φ50cm 工業用換気扇(1速)</t>
  </si>
  <si>
    <t>EA897CN-1</t>
  </si>
  <si>
    <t>単相200V/1500W遠赤外線ヒーター(天吊り型)</t>
  </si>
  <si>
    <t>EA763AD-111</t>
  </si>
  <si>
    <t>AC100V/ 32W/28畳 空気清浄機</t>
  </si>
  <si>
    <t>EA763AD-113</t>
  </si>
  <si>
    <t>AC100V/ 52W/45畳 空気清浄機</t>
  </si>
  <si>
    <t>0070</t>
  </si>
  <si>
    <t>EA300BK-1</t>
  </si>
  <si>
    <t>135mm/M6x1.0 プロパン用二又火口</t>
  </si>
  <si>
    <t>EA303FA-14</t>
  </si>
  <si>
    <t>1300℃ 自動着火パワートーチ(瞬間気化式)</t>
  </si>
  <si>
    <t>0077</t>
  </si>
  <si>
    <t>EA315HB-1A</t>
  </si>
  <si>
    <t>単相100V ノンガス半自動溶接機</t>
  </si>
  <si>
    <t>0078</t>
  </si>
  <si>
    <t>EA315GH-13</t>
  </si>
  <si>
    <t>φ0.9mm ノンガスワイヤー(ｽﾃﾝﾚｽ)</t>
  </si>
  <si>
    <t>EA370AD-2</t>
  </si>
  <si>
    <t>[Ｍ] 溶接用ジャケット</t>
  </si>
  <si>
    <t>0091</t>
  </si>
  <si>
    <t>EA319EB-50</t>
  </si>
  <si>
    <t>φ 50-150mm パイプ溶接クランプ</t>
  </si>
  <si>
    <t>EA353BZ-83</t>
  </si>
  <si>
    <t>[Ｌ] メカニクスグローブ(難燃ﾀｲﾌﾟ)</t>
  </si>
  <si>
    <t>EA526SH-150A</t>
  </si>
  <si>
    <t>0-153mm/ 75mm シャコ万力</t>
  </si>
  <si>
    <t>EA526SJ-5</t>
  </si>
  <si>
    <t>0-102mm/ 56mm シャコ万力</t>
  </si>
  <si>
    <t>EA526SJ-8</t>
  </si>
  <si>
    <t>0-200mm/ 96mm シャコ万力</t>
  </si>
  <si>
    <t>EA526SJ-10</t>
  </si>
  <si>
    <t>0-305mm/125mm シャコ万力</t>
  </si>
  <si>
    <t>EA545KS-1</t>
  </si>
  <si>
    <t>200mm ミニクリッパー</t>
  </si>
  <si>
    <t>EA545BN-5</t>
  </si>
  <si>
    <t>12mm/750mm ボルトカッター</t>
  </si>
  <si>
    <t>EA572CS-15</t>
  </si>
  <si>
    <t>12.7x304mm ロング平たがね</t>
  </si>
  <si>
    <t>0108</t>
  </si>
  <si>
    <t>EA575VB-27</t>
  </si>
  <si>
    <t>900g ボールピンハンマー</t>
  </si>
  <si>
    <t>EA575VE-32</t>
  </si>
  <si>
    <t>510g レンガ工･ハンマー</t>
  </si>
  <si>
    <t>0109</t>
  </si>
  <si>
    <t>EA575BE-4</t>
  </si>
  <si>
    <t>1800g/35x355mm 両頭ハンマー</t>
  </si>
  <si>
    <t>EA575EH-2</t>
  </si>
  <si>
    <t>3.6kg/60mm 大ハンマー(ｽﾁｰﾙ芯入り)</t>
  </si>
  <si>
    <t>EA575EH-12</t>
  </si>
  <si>
    <t>4.5kg/64mm 大ハンマー(ｽﾁｰﾙ芯入り)</t>
  </si>
  <si>
    <t>EA575ES-22</t>
  </si>
  <si>
    <t>1630g/43mm 銅ハンマー(ｸﾞﾗｽﾌｧｲﾊﾞｰ柄)</t>
  </si>
  <si>
    <t>EA575EW-1</t>
  </si>
  <si>
    <t>3.6kg/60mm 銅大ハンマー(ｸﾞﾗｽﾌｧｲﾊﾞｰ柄)</t>
  </si>
  <si>
    <t>EA570A-62</t>
  </si>
  <si>
    <t>32mm/ 611g 無反動アルミハンマー</t>
  </si>
  <si>
    <t>EA575EY-1</t>
  </si>
  <si>
    <t>740g/51mm 無反動ハンマー(ﾎﾟﾘｳﾚﾀﾝ)</t>
  </si>
  <si>
    <t>EA575WV-29</t>
  </si>
  <si>
    <t>φ53mm/5200g 鉛ハンマー</t>
  </si>
  <si>
    <t>EA575WZ-12</t>
  </si>
  <si>
    <t>31mm 交換ヘッド(EA575WZ-2用)</t>
  </si>
  <si>
    <t>EA575WT-304</t>
  </si>
  <si>
    <t>φ 51mm/1500g 無反動ﾊﾝﾏｰ(ｸﾞﾗｽﾌｧｲﾊﾞｰ柄)</t>
  </si>
  <si>
    <t>0128</t>
  </si>
  <si>
    <t>EA589LF-4</t>
  </si>
  <si>
    <t>42mm 革たち</t>
  </si>
  <si>
    <t>0131</t>
  </si>
  <si>
    <t>EA524AM-20</t>
  </si>
  <si>
    <t>２本組 スクレーパー(貫通柄)</t>
  </si>
  <si>
    <t>EA526TR-5</t>
  </si>
  <si>
    <t>0-120mm/ 60mm Ｌ型クイッククランプ</t>
  </si>
  <si>
    <t>EA526TR-8</t>
  </si>
  <si>
    <t>0-200mm/100mm Ｌ型クイッククランプ</t>
  </si>
  <si>
    <t>EA526DA-25</t>
  </si>
  <si>
    <t>250/ 60mm Ｌ型クランプ</t>
  </si>
  <si>
    <t>EA526SA-600</t>
  </si>
  <si>
    <t>0-610mm/ 85mm バークランプ＆スプレッダー</t>
  </si>
  <si>
    <t>0134</t>
  </si>
  <si>
    <t>EA526CA-8</t>
  </si>
  <si>
    <t>210x 95x23mm/ 70mm コーナークランプ</t>
  </si>
  <si>
    <t>EA599RF-3</t>
  </si>
  <si>
    <t>230mm/ 80mm 引廻し鋸(替刃式･ｶｯﾀｰ型)</t>
  </si>
  <si>
    <t>0136</t>
  </si>
  <si>
    <t>EA827AB-2</t>
  </si>
  <si>
    <t>自由錐替刃(EA827AB用)</t>
  </si>
  <si>
    <t>0137</t>
  </si>
  <si>
    <t>EA588DT-1</t>
  </si>
  <si>
    <t>180mm ボードかんな(平･45ﾟ面取り兼用)</t>
  </si>
  <si>
    <t>0143</t>
  </si>
  <si>
    <t>EA523BA-11</t>
  </si>
  <si>
    <t>50mm 替刃</t>
  </si>
  <si>
    <t>EA109MG-105</t>
  </si>
  <si>
    <t>10号 インク筆(豚毛)</t>
  </si>
  <si>
    <t>EA109LA-54</t>
  </si>
  <si>
    <t>70mm 厚口･万能刷毛</t>
  </si>
  <si>
    <t>EA109LS-6</t>
  </si>
  <si>
    <t>６本組 万能刷毛</t>
  </si>
  <si>
    <t>EA109LS-21</t>
  </si>
  <si>
    <t>25mm 万能刷毛（ポリエステル毛）</t>
  </si>
  <si>
    <t>0151</t>
  </si>
  <si>
    <t>EA109NE-35A</t>
  </si>
  <si>
    <t>225㎜(38mm) 交換用ローラー(細目)</t>
  </si>
  <si>
    <t>EA109NW-62</t>
  </si>
  <si>
    <t>230mm/9.5mm(38mm) 交換用ローラー(ﾐﾃﾞｨｱﾑ)</t>
  </si>
  <si>
    <t>EA109NX-21</t>
  </si>
  <si>
    <t>114mm/ 9.5mm(19mm) 交換用ローラー(2本)</t>
  </si>
  <si>
    <t>EA109NX-100</t>
  </si>
  <si>
    <t>114mm(95mm) ローラー刷毛セット(ﾄﾚｰ付)</t>
  </si>
  <si>
    <t>EA944MC-11A</t>
  </si>
  <si>
    <t>550mmx25m マスキングシート(外装用)</t>
  </si>
  <si>
    <t>EA944MC-12A</t>
  </si>
  <si>
    <t>1100mmx25m マスキングシート(外装用)</t>
  </si>
  <si>
    <t>EA944MC-42</t>
  </si>
  <si>
    <t>1100mmx25m マスキングシート(内装用)</t>
  </si>
  <si>
    <t>EA944MC-53</t>
  </si>
  <si>
    <t>1800mmx25m マスキングシート(内装用/30巻)</t>
  </si>
  <si>
    <t>EA944MC-55</t>
  </si>
  <si>
    <t>2700mmx25m マスキングシート(内装用/30巻)</t>
  </si>
  <si>
    <t>0166</t>
  </si>
  <si>
    <t>EA950CA-11</t>
  </si>
  <si>
    <t>68kg サクションリフター(ﾎﾟﾝﾌﾟ付)</t>
  </si>
  <si>
    <t>0169</t>
  </si>
  <si>
    <t>EA758HA-34</t>
  </si>
  <si>
    <t>[単3x3本] フラッシュライト/ＬＥＤ(防爆)</t>
  </si>
  <si>
    <t>EA642HZ-5</t>
  </si>
  <si>
    <t>5x215mm ロングピンポンチ(ﾉﾝｽﾊﾟｰｷﾝｸﾞ)</t>
  </si>
  <si>
    <t>EA642JB-1</t>
  </si>
  <si>
    <t>1x120mm ピンポンチ(ﾉﾝｽﾊﾟｰｷﾝｸﾞ)</t>
  </si>
  <si>
    <t>EA642KN-38A</t>
  </si>
  <si>
    <t>38x25x200mm フランジウエッジ(ﾉﾝｽﾊﾟｰｷﾝｸﾞ)</t>
  </si>
  <si>
    <t>EA643GS-6</t>
  </si>
  <si>
    <t>6x 90mm ナットドライバー(ﾉﾝｽﾊﾟｰｷﾝｸﾞ)</t>
  </si>
  <si>
    <t>EA643BR-12</t>
  </si>
  <si>
    <t>12x113mm [Ball-Hex]ｷｰﾚﾝﾁ(ﾉﾝｽﾊﾟｰｷﾝｸﾞ)</t>
  </si>
  <si>
    <t>EA643DB-6</t>
  </si>
  <si>
    <t>25x200mm パティナイフ(ﾉﾝｽﾊﾟｰｷﾝｸﾞ)</t>
  </si>
  <si>
    <t>0186</t>
  </si>
  <si>
    <t>EA643CA-75</t>
  </si>
  <si>
    <t>650mm バルブホイールフック(ﾉﾝｽﾊﾟｰｷﾝｸﾞ)</t>
  </si>
  <si>
    <t>EA643CA-100</t>
  </si>
  <si>
    <t>1000mm バルブホイールフック(ﾉﾝｽﾊﾟｰｷﾝｸﾞ)</t>
  </si>
  <si>
    <t>EA338BG-2</t>
  </si>
  <si>
    <t>φ32mm プラスチックパイプカッター</t>
  </si>
  <si>
    <t>EA348B-2</t>
  </si>
  <si>
    <t>1/8"-2･1/2" チェーンパイプバイス</t>
  </si>
  <si>
    <t>EA546HB-900</t>
  </si>
  <si>
    <t>103mm/900mm パイプレンチ</t>
  </si>
  <si>
    <t>0195</t>
  </si>
  <si>
    <t>EA546DR-60</t>
  </si>
  <si>
    <t>49- 89mm/ 600mm ｺｰﾅｰﾚﾝﾁ(ｱﾙﾐ合金/被覆鋼管</t>
  </si>
  <si>
    <t>EA531KP-17</t>
  </si>
  <si>
    <t>10-75mm/250mm パイプグリッププライヤー</t>
  </si>
  <si>
    <t>0197</t>
  </si>
  <si>
    <t>EA530ZC-2</t>
  </si>
  <si>
    <t>76mm/280mm   モーターレンチ</t>
  </si>
  <si>
    <t>EA546JB-1</t>
  </si>
  <si>
    <t>300mm 量水器メーター用レンチ</t>
  </si>
  <si>
    <t>0199</t>
  </si>
  <si>
    <t>EA531HE-2A</t>
  </si>
  <si>
    <t>38mm/170mm ｳｫｰﾀｰﾎﾟﾝﾌﾟﾌﾟﾗｲﾔｰ(ｺﾞﾑﾊﾟｯﾄ付)</t>
  </si>
  <si>
    <t>EA531KD-180</t>
  </si>
  <si>
    <t>40mm/180mm プライヤーレンチ(落下防止型)</t>
  </si>
  <si>
    <t>0202</t>
  </si>
  <si>
    <t>EA340RZ-60</t>
  </si>
  <si>
    <t>118ml 潤滑油</t>
  </si>
  <si>
    <t>0203</t>
  </si>
  <si>
    <t>EA340GA-13</t>
  </si>
  <si>
    <t>[EA340GA-3用]替ケーブル</t>
  </si>
  <si>
    <t>EA340RE-40</t>
  </si>
  <si>
    <t>119.5cm ドレンクリーナー(兼用式)</t>
  </si>
  <si>
    <t>0208</t>
  </si>
  <si>
    <t>EA566AJ-8</t>
  </si>
  <si>
    <t>15.9x560mm パッキングフック(ﾌﾚｷｼﾌﾞﾙ)</t>
  </si>
  <si>
    <t>0209</t>
  </si>
  <si>
    <t>EA534AE-1</t>
  </si>
  <si>
    <t>５本組 プライヤーセット</t>
  </si>
  <si>
    <t>EA534KS-1</t>
  </si>
  <si>
    <t>0210</t>
  </si>
  <si>
    <t>EA36C</t>
  </si>
  <si>
    <t>電気工事士技能試験セット</t>
  </si>
  <si>
    <t>0212</t>
  </si>
  <si>
    <t>EA537SV-11</t>
  </si>
  <si>
    <t>160mm 絶縁先曲ラジオペンチ</t>
  </si>
  <si>
    <t>0213</t>
  </si>
  <si>
    <t>EA640XS-16</t>
  </si>
  <si>
    <t>絶縁工具セット</t>
  </si>
  <si>
    <t>0220</t>
  </si>
  <si>
    <t>EA552SB</t>
  </si>
  <si>
    <t>６本組 [+ -]ドライバー(絶縁･精密用)</t>
  </si>
  <si>
    <t>EA552SB-2</t>
  </si>
  <si>
    <t>1.8x50mm [-]ドライバー(絶縁･精密用)</t>
  </si>
  <si>
    <t>EA560-100</t>
  </si>
  <si>
    <t>15本組 ドライバー･絶縁(差替式)</t>
  </si>
  <si>
    <t>0221</t>
  </si>
  <si>
    <t>EA560-25</t>
  </si>
  <si>
    <t>5.0x154mm [Hexagon]ドライバｰビット(絶縁)</t>
  </si>
  <si>
    <t>EA650BY-1</t>
  </si>
  <si>
    <t>228x292x 997mm 絶縁ｼｮﾍﾞﾙ(先丸/ｺﾝﾎﾟｼﾞｯﾄ)</t>
  </si>
  <si>
    <t>EA650BY-2</t>
  </si>
  <si>
    <t>241x292x 997mm 絶縁ｼｮﾍﾞﾙ(角形/ｺﾝﾎﾟｼﾞｯﾄ)</t>
  </si>
  <si>
    <t>0222</t>
  </si>
  <si>
    <t>EA640ZE-12</t>
  </si>
  <si>
    <t>[Ｌ] 高圧絶縁手袋用保護カバー(ﾎﾟﾘｳﾚﾀﾝ製)</t>
  </si>
  <si>
    <t>0224</t>
  </si>
  <si>
    <t>EA903VA-210</t>
  </si>
  <si>
    <t>2.02m ＦＲＰ絶縁脚立</t>
  </si>
  <si>
    <t>0238</t>
  </si>
  <si>
    <t>EA597G-5</t>
  </si>
  <si>
    <t>0.69-5.4m フィッシュポール(伸縮型)</t>
  </si>
  <si>
    <t>0241</t>
  </si>
  <si>
    <t>EA539A</t>
  </si>
  <si>
    <t>14.0-60.0m㎡ 油圧圧着工具(裸端子用)</t>
  </si>
  <si>
    <t>EA580TB-2</t>
  </si>
  <si>
    <t>60-150mm ｹｰﾌﾞﾙｽﾄﾘｯﾊﾟｰｾｯﾄ(電ﾄﾞﾙ用ｱｼﾞｬｽﾀｰ)</t>
  </si>
  <si>
    <t>EA580TB-3</t>
  </si>
  <si>
    <t>200-325mm ｹｰﾌﾞﾙｽﾄﾘｯﾊﾟｰｾｯﾄ(電ﾄﾞﾙ用ｱｼﾞｬｽﾀｰ</t>
  </si>
  <si>
    <t>0244</t>
  </si>
  <si>
    <t>EA585KC-165S</t>
  </si>
  <si>
    <t>φ15mm/165mm ケーブルカッター(ｽﾌﾟﾘﾝｸﾞ付)</t>
  </si>
  <si>
    <t>EA589E-33</t>
  </si>
  <si>
    <t>185mm 電工ナイフ(折りたたみ式)</t>
  </si>
  <si>
    <t>0254</t>
  </si>
  <si>
    <t>EA534KB-12</t>
  </si>
  <si>
    <t>200mm 電工ペンチ(ｸﾞﾘｯﾌﾟ付･偏芯型/ﾒｯｷ)</t>
  </si>
  <si>
    <t>EA534KB-180</t>
  </si>
  <si>
    <t>180mm 電工ペンチ(ｸﾞﾘｯﾌﾟ付･偏芯型)</t>
  </si>
  <si>
    <t>EA534KB-225</t>
  </si>
  <si>
    <t>225mm 電工ペンチ(ｸﾞﾘｯﾌﾟ付･偏芯型)</t>
  </si>
  <si>
    <t>EA577LC-1</t>
  </si>
  <si>
    <t>140mm ｴﾝﾄﾞｶｯﾃｨﾝｸﾞﾆｯﾊﾟｰ(ｸﾞﾘｯﾌﾟ付/ﾒｯｷ)</t>
  </si>
  <si>
    <t>EA536SV-2</t>
  </si>
  <si>
    <t>140mm 斜ニッパー(ｸﾞﾘｯﾌﾟ付)</t>
  </si>
  <si>
    <t>EA536SV-9</t>
  </si>
  <si>
    <t>180mm 斜ニッパー</t>
  </si>
  <si>
    <t>EA536SV-14</t>
  </si>
  <si>
    <t>200mm 強力型ニッパー(ｸﾞﾘｯﾌﾟ付)</t>
  </si>
  <si>
    <t>0260</t>
  </si>
  <si>
    <t>EA534FB-17</t>
  </si>
  <si>
    <t>175mm 電工ペンチ(砲金構造)</t>
  </si>
  <si>
    <t>EA534FC-20</t>
  </si>
  <si>
    <t>200mm 強力型電工ペンチ(砲金構造)</t>
  </si>
  <si>
    <t>0261</t>
  </si>
  <si>
    <t>EA536DH-150</t>
  </si>
  <si>
    <t>150mm プラスチックニッパー</t>
  </si>
  <si>
    <t>0263</t>
  </si>
  <si>
    <t>EA535K-3</t>
  </si>
  <si>
    <t>125mm 精密用ニッパー(ﾊﾞﾈ付)</t>
  </si>
  <si>
    <t>0265</t>
  </si>
  <si>
    <t>EA535KG-13</t>
  </si>
  <si>
    <t>120mm 精密用ニッパー(ESDｸﾞﾘｯﾌﾟ/ﾊﾞﾈ付)</t>
  </si>
  <si>
    <t>EA537KV</t>
  </si>
  <si>
    <t>６本組 精密ニッパー・プライヤー(ESD)</t>
  </si>
  <si>
    <t>0269</t>
  </si>
  <si>
    <t>EA537T-31</t>
  </si>
  <si>
    <t>126mm 精密プライヤー(ESD/平/ﾊﾞﾈ付)</t>
  </si>
  <si>
    <t>EA532AB-7</t>
  </si>
  <si>
    <t>165mm コンビネーションプライヤー(ｶﾊﾞｰ付)</t>
  </si>
  <si>
    <t>0271</t>
  </si>
  <si>
    <t>EA533DG-3</t>
  </si>
  <si>
    <t>0-25mm/130mm ハンドバイス</t>
  </si>
  <si>
    <t>0274</t>
  </si>
  <si>
    <t>EA763AA-512</t>
  </si>
  <si>
    <t>[7V型ﾜｲﾄﾞ] ナビゲーション(ﾎﾟｰﾀﾌﾞﾙ)</t>
  </si>
  <si>
    <t>EA812HB-6</t>
  </si>
  <si>
    <t>AC･DC→DC12V･AC100V ポータブル電源</t>
  </si>
  <si>
    <t>EA815YH-1</t>
  </si>
  <si>
    <t>0276</t>
  </si>
  <si>
    <t>EA812JA-20A</t>
  </si>
  <si>
    <t>DC12V→AC100V/ 30W インバーター</t>
  </si>
  <si>
    <t>EA812JA-33</t>
  </si>
  <si>
    <t>DC12V→AC100V/400W インバーター</t>
  </si>
  <si>
    <t>EA812JD-11A</t>
  </si>
  <si>
    <t>DC12V→AC100V/3000W 正弦波インバーター</t>
  </si>
  <si>
    <t>0279</t>
  </si>
  <si>
    <t>EA983FS-152</t>
  </si>
  <si>
    <t>DC12V/35W 車載着脱回転灯(ﾏｸﾞﾈｯﾄ付/青色)</t>
  </si>
  <si>
    <t>EA812JY-72R</t>
  </si>
  <si>
    <t>0.85m㎡ x100m [赤]自動車用コード</t>
  </si>
  <si>
    <t>EA812JY-214</t>
  </si>
  <si>
    <t>0.5m㎡x25m  [CAVS/黄]自動車用コード</t>
  </si>
  <si>
    <t>EA812JY-215</t>
  </si>
  <si>
    <t>0.5m㎡x25m  [CAVS/白]自動車用コード</t>
  </si>
  <si>
    <t>0287</t>
  </si>
  <si>
    <t>EA640TA-2</t>
  </si>
  <si>
    <t>低電サーキットテスター(ﾗｲﾄ･ﾌﾞｻﾞー付)</t>
  </si>
  <si>
    <t>EA812HF-6</t>
  </si>
  <si>
    <t>DC12V/24V 2000A ジャンプスターター</t>
  </si>
  <si>
    <t>0288</t>
  </si>
  <si>
    <t>EA514BA-20</t>
  </si>
  <si>
    <t>135mm バッテリーフィラー</t>
  </si>
  <si>
    <t>0289</t>
  </si>
  <si>
    <t>EA922AE-41</t>
  </si>
  <si>
    <t>300ml バッテリー補充液(精製水)</t>
  </si>
  <si>
    <t>EA934YE-13</t>
  </si>
  <si>
    <t>3mm ユニシールステム(20本)</t>
  </si>
  <si>
    <t>EA934YE-17</t>
  </si>
  <si>
    <t>7mm ユニシールステム(20本)</t>
  </si>
  <si>
    <t>EA934YE-19</t>
  </si>
  <si>
    <t>9mm ユニシールステム(20本)</t>
  </si>
  <si>
    <t>0304</t>
  </si>
  <si>
    <t>EA981V-10</t>
  </si>
  <si>
    <t>900kg アジャスタブルスリングチェーン</t>
  </si>
  <si>
    <t>EA993BG-11B</t>
  </si>
  <si>
    <t>2000kg アームジャッキ(油圧式)</t>
  </si>
  <si>
    <t>EA926BE-13A</t>
  </si>
  <si>
    <t>ニーパッド</t>
  </si>
  <si>
    <t>0307</t>
  </si>
  <si>
    <t>EA603GB-2</t>
  </si>
  <si>
    <t>ﾕﾆﾊﾞｰｻﾙ バルブスプリングコンプレッサー</t>
  </si>
  <si>
    <t>0309</t>
  </si>
  <si>
    <t>EA514AL-1</t>
  </si>
  <si>
    <t>φ19mm ピンチオフプライヤー</t>
  </si>
  <si>
    <t>0314</t>
  </si>
  <si>
    <t>EA514BY-12</t>
  </si>
  <si>
    <t>3/8"x5/16" ﾌｭｰｴﾙﾗｲﾝﾃﾞｨｽｺﾈｸﾄﾂｰﾙ</t>
  </si>
  <si>
    <t>0316</t>
  </si>
  <si>
    <t>EA604AH-5</t>
  </si>
  <si>
    <t>134-150mm オイルフィルターレンチ</t>
  </si>
  <si>
    <t>EA510ZD</t>
  </si>
  <si>
    <t>10- 30mm ベアリング交換セット</t>
  </si>
  <si>
    <t>0340</t>
  </si>
  <si>
    <t>EA525FA-3</t>
  </si>
  <si>
    <t>60mm ベンチバイス(回転台付/ｸﾗﾝﾌﾟ式)</t>
  </si>
  <si>
    <t>EA525X-300</t>
  </si>
  <si>
    <t>3000kg アーバープレス(ﾗｯｸ式)</t>
  </si>
  <si>
    <t>EA519AA-150</t>
  </si>
  <si>
    <t>1500mm チゼルバー</t>
  </si>
  <si>
    <t>0344</t>
  </si>
  <si>
    <t>EA604DH-27</t>
  </si>
  <si>
    <t>115mm/12mm用 クリップリムーバー(ｽﾀﾋﾞｰ)</t>
  </si>
  <si>
    <t>0347</t>
  </si>
  <si>
    <t>EA524BK</t>
  </si>
  <si>
    <t>50㎜ スクレーパー</t>
  </si>
  <si>
    <t>EA598BE-1</t>
  </si>
  <si>
    <t>1220mm ピックアップツール(ﾌﾚｷｼﾌﾞﾙ 4本爪)</t>
  </si>
  <si>
    <t>0353</t>
  </si>
  <si>
    <t>EA584BC-2</t>
  </si>
  <si>
    <t>M3-M24/６本組 スクリューエキストラクター</t>
  </si>
  <si>
    <t>0358</t>
  </si>
  <si>
    <t>EA949VA-18BA</t>
  </si>
  <si>
    <t>M18-2.0  [ﾒﾄﾘｯｸ]リコイルキット(細目)</t>
  </si>
  <si>
    <t>EA949VS-8</t>
  </si>
  <si>
    <t>M8-1.25 ﾘｺｲﾙｲﾝｻｰﾄﾈｼﾞ用工具(ﾀﾝｸﾞﾚｽ用)</t>
  </si>
  <si>
    <t>EA928AH-26</t>
  </si>
  <si>
    <t>320mm 洗車ブラシ(通水型/軟/ﾜﾝﾀｯﾁﾌﾟﾗｸﾞ付)</t>
  </si>
  <si>
    <t>0367</t>
  </si>
  <si>
    <t>EA922JJ-3</t>
  </si>
  <si>
    <t>350x300mm 鏡面仕上ウェットシート(10枚)</t>
  </si>
  <si>
    <t>EA922JP-31</t>
  </si>
  <si>
    <t>100ml 本革用クリーナー</t>
  </si>
  <si>
    <t>EA920AP-31</t>
  </si>
  <si>
    <t>140g 塗装面キズ取り・磨き用コンパウンド</t>
  </si>
  <si>
    <t>EA922JK-6</t>
  </si>
  <si>
    <t>300g カーワックス(ﾀﾞｰｸ＆ﾒﾀﾘｯｸ車用)</t>
  </si>
  <si>
    <t>0369</t>
  </si>
  <si>
    <t>EA920AN-13</t>
  </si>
  <si>
    <t>200g コンパウンド･仕上げ用(ﾒﾀﾘｯｸ車用)</t>
  </si>
  <si>
    <t>EA922JG-21</t>
  </si>
  <si>
    <t>20ml ワイパービビリ止め</t>
  </si>
  <si>
    <t>EA922JH-22</t>
  </si>
  <si>
    <t>400ml 車輌用コーティング剤</t>
  </si>
  <si>
    <t>0372</t>
  </si>
  <si>
    <t>EA613XE-55</t>
  </si>
  <si>
    <t>52- 55mm フックレンチ(ｽﾃﾝﾚｽ製)</t>
  </si>
  <si>
    <t>EA613XE-56</t>
  </si>
  <si>
    <t>58- 62mm フックレンチ(ｽﾃﾝﾚｽ製)</t>
  </si>
  <si>
    <t>EA614SN-13A</t>
  </si>
  <si>
    <t>13mm 片目片口スパナ(ｽﾃﾝﾚｽ製)</t>
  </si>
  <si>
    <t>EA618SC-203</t>
  </si>
  <si>
    <t>1/2"DR x 3mm [INHEX]ﾋﾞｯﾄｿｹｯﾄ(ｽﾃﾝﾚｽ製)</t>
  </si>
  <si>
    <t>EA618SC-204</t>
  </si>
  <si>
    <t>1/2"DR x 4mm [INHEX]ﾋﾞｯﾄｿｹｯﾄ(ｽﾃﾝﾚｽ製)</t>
  </si>
  <si>
    <t>EA618SC-205</t>
  </si>
  <si>
    <t>1/2"DR x 5mm [INHEX]ﾋﾞｯﾄｿｹｯﾄ(ｽﾃﾝﾚｽ製)</t>
  </si>
  <si>
    <t>0383</t>
  </si>
  <si>
    <t>EA612TK-16</t>
  </si>
  <si>
    <t>９本組 [TORX]ドライバーセット</t>
  </si>
  <si>
    <t>0385</t>
  </si>
  <si>
    <t>EA612VY</t>
  </si>
  <si>
    <t>89個組 工具セット</t>
  </si>
  <si>
    <t>0397</t>
  </si>
  <si>
    <t>EA613NC</t>
  </si>
  <si>
    <t>９本組/3/4"-1･1/4" 片口スパナ</t>
  </si>
  <si>
    <t>0411</t>
  </si>
  <si>
    <t>EA617AM-706</t>
  </si>
  <si>
    <t>1/2"DR/6x140mm[INHEX]ﾋﾞｯﾄｿｹｯﾄ(ﾎｰﾙﾄﾞ機能)</t>
  </si>
  <si>
    <t>EA617GT-104A</t>
  </si>
  <si>
    <t>1/2"DR/4-19mm/250mm Hexﾋﾞｯﾄｿｹｯﾄ</t>
  </si>
  <si>
    <t>EA617GT-350</t>
  </si>
  <si>
    <t>1/2"DR/4-19mm/150mm [INHEX]ﾋﾞｯﾄｿｹｯﾄｾｯﾄ</t>
  </si>
  <si>
    <t>0414</t>
  </si>
  <si>
    <t>EA687YA-22</t>
  </si>
  <si>
    <t>４本組 スナップリングプライヤー(ﾄﾚｰ入り)</t>
  </si>
  <si>
    <t>0415</t>
  </si>
  <si>
    <t>EA687YA-14</t>
  </si>
  <si>
    <t>片目片口スパナ＆キーレンチセット(ﾄﾚｰ入)</t>
  </si>
  <si>
    <t>0419</t>
  </si>
  <si>
    <t>EA687AR-2</t>
  </si>
  <si>
    <t>1/4"DR/143mm ラチェットハンドル(ﾛｯｷﾝｸﾞ)</t>
  </si>
  <si>
    <t>0425</t>
  </si>
  <si>
    <t>EA614DF-14</t>
  </si>
  <si>
    <t>14x235mm ギアレンチ(ﾛﾝｸﾞｻｲｽﾞ)</t>
  </si>
  <si>
    <t>0427</t>
  </si>
  <si>
    <t>EA617CD-251</t>
  </si>
  <si>
    <t>205mm  ラチェットハンドル(貫通式)</t>
  </si>
  <si>
    <t>EA602KB</t>
  </si>
  <si>
    <t>７本組  ラチェットメガネレンチ(ｵﾌｾｯﾄ型)</t>
  </si>
  <si>
    <t>EA602SC</t>
  </si>
  <si>
    <t>２本組 ４サイズラチェットレンチ</t>
  </si>
  <si>
    <t>0434</t>
  </si>
  <si>
    <t>EA612SB-13</t>
  </si>
  <si>
    <t>[52個組] 工具セット</t>
  </si>
  <si>
    <t>EA91B</t>
  </si>
  <si>
    <t>[79個組] 工具セット(ｼｬｯﾀｰ付)</t>
  </si>
  <si>
    <t>0437</t>
  </si>
  <si>
    <t>EA614B-126</t>
  </si>
  <si>
    <t>1-3/16" 片目片口スパナ</t>
  </si>
  <si>
    <t>0438</t>
  </si>
  <si>
    <t>EA602CF-50</t>
  </si>
  <si>
    <t>５本組 ラチェットめがね(首振り型)</t>
  </si>
  <si>
    <t>EA618P-4</t>
  </si>
  <si>
    <t>3/8"DR ソケットレンチセット</t>
  </si>
  <si>
    <t>0442</t>
  </si>
  <si>
    <t>EA618PZ-18</t>
  </si>
  <si>
    <t>替クリップセット(10個)</t>
  </si>
  <si>
    <t>0446</t>
  </si>
  <si>
    <t>EA618RM-102</t>
  </si>
  <si>
    <t>1/2"DRx 7/16" ディープソケット(六角)</t>
  </si>
  <si>
    <t>EA618RM-105</t>
  </si>
  <si>
    <t>1/2"DRx 9/16" ディープソケット(六角)</t>
  </si>
  <si>
    <t>0450</t>
  </si>
  <si>
    <t>EA616CB-1</t>
  </si>
  <si>
    <t>8x10mm 両口めがねレンチ(ｽﾄﾚｰﾄ型･ｼｮｰﾄ)</t>
  </si>
  <si>
    <t>0453</t>
  </si>
  <si>
    <t>EA618HL-8</t>
  </si>
  <si>
    <t>1/4"DRx 8mm ディープソケット</t>
  </si>
  <si>
    <t>0454</t>
  </si>
  <si>
    <t>EA618J-5</t>
  </si>
  <si>
    <t>EA618JE-8</t>
  </si>
  <si>
    <t>3/8"DR ラチェットアダプター</t>
  </si>
  <si>
    <t>0455</t>
  </si>
  <si>
    <t>EA618JL-131</t>
  </si>
  <si>
    <t>3/8"DRx21/32" ディープソケット(六角)</t>
  </si>
  <si>
    <t>0457</t>
  </si>
  <si>
    <t>EA618K-4</t>
  </si>
  <si>
    <t>1/2"DR ソケットレンチセット</t>
  </si>
  <si>
    <t>0459</t>
  </si>
  <si>
    <t>EA618KG-12</t>
  </si>
  <si>
    <t>1/2"DRx12mm ディープソケット</t>
  </si>
  <si>
    <t>EA618KG-17</t>
  </si>
  <si>
    <t>1/2"DRx17mm ディープソケット</t>
  </si>
  <si>
    <t>0463</t>
  </si>
  <si>
    <t>EA618AC-7</t>
  </si>
  <si>
    <t>1/4"DR/350mm スピーダーハンドル</t>
  </si>
  <si>
    <t>EA618BA-41</t>
  </si>
  <si>
    <t>0466</t>
  </si>
  <si>
    <t>EA618BP-27</t>
  </si>
  <si>
    <t>3/8"DRx27.0mm ディープソケット</t>
  </si>
  <si>
    <t>0467</t>
  </si>
  <si>
    <t>EA618BY-8</t>
  </si>
  <si>
    <t>3/8"DRxE 8 [Torx]ソケット</t>
  </si>
  <si>
    <t>EA618BZ-303</t>
  </si>
  <si>
    <t>3/8"DRx 3mm/75mm [INHEX]ビットソケット</t>
  </si>
  <si>
    <t>0469</t>
  </si>
  <si>
    <t>EA618CA-14</t>
  </si>
  <si>
    <t>1/2"DRx250mm ラチェットハンドル</t>
  </si>
  <si>
    <t>EA618CC-6</t>
  </si>
  <si>
    <t>1/2"DR クイックスピンナー</t>
  </si>
  <si>
    <t>0470</t>
  </si>
  <si>
    <t>EA618CG-106</t>
  </si>
  <si>
    <t>1/2"DRx 9/16"  ソケット</t>
  </si>
  <si>
    <t>0471</t>
  </si>
  <si>
    <t>EA618CF-16</t>
  </si>
  <si>
    <t>1/2"DRx16mm ディープソケット</t>
  </si>
  <si>
    <t>EA618CF-35</t>
  </si>
  <si>
    <t>1/2"DRx35mm ディープソケット</t>
  </si>
  <si>
    <t>EA616AC</t>
  </si>
  <si>
    <t>６本組/ 8-24mm 両口めがねレンチ</t>
  </si>
  <si>
    <t>EA615AF-8</t>
  </si>
  <si>
    <t>30x32mm/275x4.5mm 両口スパナ(薄口)</t>
  </si>
  <si>
    <t>EA615AM-4</t>
  </si>
  <si>
    <t>8x10mm 両口スパナ</t>
  </si>
  <si>
    <t>EA615AM-7</t>
  </si>
  <si>
    <t>12x14mm 両口スパナ</t>
  </si>
  <si>
    <t>EA615AM-9</t>
  </si>
  <si>
    <t>17x19mm 両口スパナ</t>
  </si>
  <si>
    <t>0475</t>
  </si>
  <si>
    <t>EA618GG-17</t>
  </si>
  <si>
    <t>17x300mm Ｔ型ＢＯＸレンチ</t>
  </si>
  <si>
    <t>EA618GG-19</t>
  </si>
  <si>
    <t>19x300mm Ｔ型ＢＯＸレンチ</t>
  </si>
  <si>
    <t>EA618TM-3</t>
  </si>
  <si>
    <t>3/8"DRx180mm ラチェットハンドル(軽量)</t>
  </si>
  <si>
    <t>0482</t>
  </si>
  <si>
    <t>EA687HF-16</t>
  </si>
  <si>
    <t>1/2"DRx16mm インパクトソケット(薄肉)</t>
  </si>
  <si>
    <t>EA687HF-22</t>
  </si>
  <si>
    <t>1/2"DRx22mm インパクトソケット(薄肉)</t>
  </si>
  <si>
    <t>EA687HF-23</t>
  </si>
  <si>
    <t>1/2"DRx23mm インパクトソケット(薄肉)</t>
  </si>
  <si>
    <t>EA164GT-3</t>
  </si>
  <si>
    <t>1/2"DR 薄形ｲﾝﾊﾟｸﾄｿｹｯﾄｾｯﾄ(ﾎｲｰﾙﾅｯﾄ用)</t>
  </si>
  <si>
    <t>EA164NR-70</t>
  </si>
  <si>
    <t>1･1/2"DR/ 70mm インパクトソケット</t>
  </si>
  <si>
    <t>0492</t>
  </si>
  <si>
    <t>EA164E-6</t>
  </si>
  <si>
    <t>3/4"DRx75mm ｲﾝﾊﾟｸﾄﾛｯｷﾝｸﾞｱﾀﾞﾌﾟﾀｰ</t>
  </si>
  <si>
    <t>EA164VC-1</t>
  </si>
  <si>
    <t>1/2"DRx57.5mm 六角軸変換アダプター</t>
  </si>
  <si>
    <t>EA613GB-30</t>
  </si>
  <si>
    <t>30mm 打撃スパナ</t>
  </si>
  <si>
    <t>EA613GB-55</t>
  </si>
  <si>
    <t>55mm 打撃スパナ</t>
  </si>
  <si>
    <t>EA613GM-130</t>
  </si>
  <si>
    <t>130mm 打撃めがねレンチ(ﾍﾞﾝﾄ)</t>
  </si>
  <si>
    <t>EA602A-3</t>
  </si>
  <si>
    <t>17x19mm/250mm 両口ラチェットレンチ(ｼｮｰﾄ)</t>
  </si>
  <si>
    <t>0497</t>
  </si>
  <si>
    <t>EA530LA-2</t>
  </si>
  <si>
    <t>175mm/50mm モンキーレンチ(両面)</t>
  </si>
  <si>
    <t>EA530LA-3</t>
  </si>
  <si>
    <t>250mm/75mm モンキーレンチ(両面)</t>
  </si>
  <si>
    <t>0500</t>
  </si>
  <si>
    <t>EA613XK-2</t>
  </si>
  <si>
    <t>38-100mm アジャスタブルフックレンチ</t>
  </si>
  <si>
    <t>0501</t>
  </si>
  <si>
    <t>EA613XS-15</t>
  </si>
  <si>
    <t>80-125mm/8mmヒンジピンレンチ(3/4"sq差込)</t>
  </si>
  <si>
    <t>EA723JE-44A</t>
  </si>
  <si>
    <t>60-300N･m(1/2"DR) トルクレンチ</t>
  </si>
  <si>
    <t>0511</t>
  </si>
  <si>
    <t>EA723HC-14</t>
  </si>
  <si>
    <t>250-1360cN.mﾄﾙｸﾄﾞﾗｲﾊﾞｰ(ﾌﾟﾘｾｯﾄ/ｸﾘｰﾝﾙｰﾑ用)</t>
  </si>
  <si>
    <t>EA723HK-3</t>
  </si>
  <si>
    <t>0.5- 4.5Nm トルクドライバー(ﾌﾟﾘｾｯﾄ型)</t>
  </si>
  <si>
    <t>0524</t>
  </si>
  <si>
    <t>EA557DF-150B</t>
  </si>
  <si>
    <t>8.0x150mm [-]ドライバー(貫通柄)</t>
  </si>
  <si>
    <t>0535</t>
  </si>
  <si>
    <t>EA560GA-32</t>
  </si>
  <si>
    <t>6.3x100㎜ [-]ドライバー</t>
  </si>
  <si>
    <t>EA561LB-0</t>
  </si>
  <si>
    <t>No0x 80mm [TRI-WING]ドライバー</t>
  </si>
  <si>
    <t>0536</t>
  </si>
  <si>
    <t>EA573AZ-10</t>
  </si>
  <si>
    <t>T10x 80mm TORXドライバー</t>
  </si>
  <si>
    <t>EA557DM-100</t>
  </si>
  <si>
    <t>6.0x100mm [-]ドライバー(貫通型･木柄)</t>
  </si>
  <si>
    <t>EA565AB-7A</t>
  </si>
  <si>
    <t>7.0x250mm [Nut]ドライバー</t>
  </si>
  <si>
    <t>EA565AB-13A</t>
  </si>
  <si>
    <t>13.0x250mm [Nut]ドライバー</t>
  </si>
  <si>
    <t>EA565CT-2</t>
  </si>
  <si>
    <t>5-8mm/４本組 [Nut] ﾄﾞﾗｲﾊﾞｰｾｯﾄ(ﾌﾚｷｼﾌﾞﾙ)</t>
  </si>
  <si>
    <t>0545</t>
  </si>
  <si>
    <t>EA550GD-20</t>
  </si>
  <si>
    <t>1/4"sq ３本組ラチェットハンドル</t>
  </si>
  <si>
    <t>0546</t>
  </si>
  <si>
    <t>EA611BK-5</t>
  </si>
  <si>
    <t>5.0x25mm [Ball Hexagon]ドライバービット</t>
  </si>
  <si>
    <t>EA611G-18</t>
  </si>
  <si>
    <t>EA611GA-91</t>
  </si>
  <si>
    <t>#1x89mm   [+]ドライバービット</t>
  </si>
  <si>
    <t>EA611GA-92</t>
  </si>
  <si>
    <t>#2x89mm   [+]ドライバービット</t>
  </si>
  <si>
    <t>0558</t>
  </si>
  <si>
    <t>EA611GM-220</t>
  </si>
  <si>
    <t>T20x50mm [Torx]ドライバービット(ﾎｰﾙﾄﾞ付)</t>
  </si>
  <si>
    <t>0560</t>
  </si>
  <si>
    <t>EA813A-27</t>
  </si>
  <si>
    <t>#2x 65mm 10本組カラービット</t>
  </si>
  <si>
    <t>EA550WA-1A</t>
  </si>
  <si>
    <t>5/16"Hex/142mm インパクトドライバー</t>
  </si>
  <si>
    <t>EA550XB-20</t>
  </si>
  <si>
    <t>1/4"DR ｲﾝﾊﾟｸﾄﾄﾞﾗｲﾊﾞｰｾｯﾄ(ねじ取ﾋﾞｯﾄ付)</t>
  </si>
  <si>
    <t>EA573-9</t>
  </si>
  <si>
    <t>9.0x115mm [Hexagon]キーレンチ</t>
  </si>
  <si>
    <t>0565</t>
  </si>
  <si>
    <t>EA573LB-200</t>
  </si>
  <si>
    <t>3/32"-3/8"  ８本組[Hexagon]キーレンチ</t>
  </si>
  <si>
    <t>0566</t>
  </si>
  <si>
    <t>EA573VC-6</t>
  </si>
  <si>
    <t>6.0x180mm [Ball Hex-Plus]キーレンチ</t>
  </si>
  <si>
    <t>0567</t>
  </si>
  <si>
    <t>EA573WF-180</t>
  </si>
  <si>
    <t>5/64"-3/8"/９本組 [Ball Hex-Plus]ｷｰﾚﾝﾁ</t>
  </si>
  <si>
    <t>0576</t>
  </si>
  <si>
    <t>EA566AC-27</t>
  </si>
  <si>
    <t>180mm プローブ・ヘラ(精密用)</t>
  </si>
  <si>
    <t>EA566DB-1</t>
  </si>
  <si>
    <t>255mm フックツール(先丸)</t>
  </si>
  <si>
    <t>0586</t>
  </si>
  <si>
    <t>EA826VG-22</t>
  </si>
  <si>
    <t>4.05x0.35mm/#600 ﾀﾞｲﾔﾓﾝﾄﾞﾔｽﾘ(先薄 平)</t>
  </si>
  <si>
    <t>EA826VG-23</t>
  </si>
  <si>
    <t>5.55x0.35mm/#600 ﾀﾞｲﾔﾓﾝﾄﾞﾔｽﾘ(先薄 平)</t>
  </si>
  <si>
    <t>EA826VG-25</t>
  </si>
  <si>
    <t>4.15x0.45mm/#325 ﾀﾞｲﾔﾓﾝﾄﾞﾔｽﾘ(先薄 平)</t>
  </si>
  <si>
    <t>EA826VG-28</t>
  </si>
  <si>
    <t>2.25x0.55mm/#200 ﾀﾞｲﾔﾓﾝﾄﾞﾔｽﾘ(先薄 平)</t>
  </si>
  <si>
    <t>EA826VG-29</t>
  </si>
  <si>
    <t>4.25x0.55mm/#200 ﾀﾞｲﾔﾓﾝﾄﾞﾔｽﾘ(先薄 平)</t>
  </si>
  <si>
    <t>EA826VG-30</t>
  </si>
  <si>
    <t>5.75x0.55mm/#200 ﾀﾞｲﾔﾓﾝﾄﾞﾔｽﾘ(先薄 平)</t>
  </si>
  <si>
    <t>EA521VL-34</t>
  </si>
  <si>
    <t>200mm 精密やすり(4種･5本組/油目)</t>
  </si>
  <si>
    <t>EA521VP-203CS</t>
  </si>
  <si>
    <t>200mm 鉄工やすり(半丸/細目)</t>
  </si>
  <si>
    <t>0596</t>
  </si>
  <si>
    <t>EA521AB-12</t>
  </si>
  <si>
    <t>300mm やすり(ﾏｼﾞｶｯﾄ 平/柄付)</t>
  </si>
  <si>
    <t>EA521VC-52</t>
  </si>
  <si>
    <t>150-250mm 鉄工やすり(5本組･3ｻｲｽﾞ/粗･細)</t>
  </si>
  <si>
    <t>EA522AK-13</t>
  </si>
  <si>
    <t>76x25x9.5mm 油砥石(長三角/極細目)</t>
  </si>
  <si>
    <t>0600</t>
  </si>
  <si>
    <t>EA522G-203</t>
  </si>
  <si>
    <t>400g/#150-#240 金剛砂</t>
  </si>
  <si>
    <t>0601</t>
  </si>
  <si>
    <t>EA366HC-120</t>
  </si>
  <si>
    <t>#120 研磨シート(5枚)</t>
  </si>
  <si>
    <t>0606</t>
  </si>
  <si>
    <t>EA920AP-5</t>
  </si>
  <si>
    <t>100g コンパウンド･艶出し(汚れ落とし用)</t>
  </si>
  <si>
    <t>0607</t>
  </si>
  <si>
    <t>EA109AM-2A</t>
  </si>
  <si>
    <t>6.4x4.8/114mm 耐静電ブラシ(豚毛･ｽﾁｰﾙ柄)</t>
  </si>
  <si>
    <t>EA109AZ-17</t>
  </si>
  <si>
    <t>196mm パーツクリーニングブラシ(ﾀﾝﾋﾟｺ)</t>
  </si>
  <si>
    <t>0609</t>
  </si>
  <si>
    <t>EA109AR-2</t>
  </si>
  <si>
    <t>22x 32mm 耐静電ブラシ(豚毛)</t>
  </si>
  <si>
    <t>EA109BA-4</t>
  </si>
  <si>
    <t>13x210mm 柄付ブラシ(ﾅｲﾛﾝ)</t>
  </si>
  <si>
    <t>EA109GC-20</t>
  </si>
  <si>
    <t>213mm ﾜｲﾔｰﾌﾞﾗｼ(ｽﾃﾝﾚｽ製/直/ｸﾞﾘｯﾌﾟ付)</t>
  </si>
  <si>
    <t>0614</t>
  </si>
  <si>
    <t>EA109KE-5</t>
  </si>
  <si>
    <t>225mm 柄付ブラシ(ﾅｲﾛﾝ製/3行･直)</t>
  </si>
  <si>
    <t>0620</t>
  </si>
  <si>
    <t>EA992CK-45</t>
  </si>
  <si>
    <t>φ250/0.36mm/16ﾒｯｼｭ ろ過網(柄付･ｽﾃﾝﾚｽ製)</t>
  </si>
  <si>
    <t>EA992CL-15</t>
  </si>
  <si>
    <t>φ250/0.20mm/40ﾒｯｼｭ ろ過網(柄付･ｽﾃﾝﾚｽ製)</t>
  </si>
  <si>
    <t>0623</t>
  </si>
  <si>
    <t>EA508SB-102</t>
  </si>
  <si>
    <t>100x75x10mm トレー(ｽﾃﾝﾚｽ製)</t>
  </si>
  <si>
    <t>0624</t>
  </si>
  <si>
    <t>EA508SC-162</t>
  </si>
  <si>
    <t>330x330x330mm ふた付深型ﾎﾞｯｸｽ(ｽﾃﾝﾚｽ製)</t>
  </si>
  <si>
    <t>0627</t>
  </si>
  <si>
    <t>EA929AC-48</t>
  </si>
  <si>
    <t>254x305mm 工業用ワイパー(中厚/200枚)</t>
  </si>
  <si>
    <t>0630</t>
  </si>
  <si>
    <t>EA929AC-135</t>
  </si>
  <si>
    <t>318x305mm 工業用ﾜｲﾊﾟｰ(ﾛｰﾙ/厚/1100ｼｰﾄ)</t>
  </si>
  <si>
    <t>EA929DJ-2</t>
  </si>
  <si>
    <t>533x584mm 油吸着マット</t>
  </si>
  <si>
    <t>0634</t>
  </si>
  <si>
    <t>EA929DX-111</t>
  </si>
  <si>
    <t>1219x 25x 19mm ｽﾋﾟﾙﾊﾞｰﾑ(油･液体用/卓上)</t>
  </si>
  <si>
    <t>0636</t>
  </si>
  <si>
    <t>EA520WD-2</t>
  </si>
  <si>
    <t>55ｶﾞﾛﾝ/450kg ドラム缶キャリー</t>
  </si>
  <si>
    <t>0644</t>
  </si>
  <si>
    <t>EA991HB-2A</t>
  </si>
  <si>
    <t>20L ガソリン携行缶</t>
  </si>
  <si>
    <t>0646</t>
  </si>
  <si>
    <t>EA991BS-42</t>
  </si>
  <si>
    <t>420ml オイルサーバー(ｽﾃﾝﾚｽ製)</t>
  </si>
  <si>
    <t>EA991JE-25</t>
  </si>
  <si>
    <t>19L セーフティディスペンス缶</t>
  </si>
  <si>
    <t>0648</t>
  </si>
  <si>
    <t>EA992BN-12</t>
  </si>
  <si>
    <t>φ300mm ドラム缶じょうご(ｽﾃﾝﾚｽ製)</t>
  </si>
  <si>
    <t>0654</t>
  </si>
  <si>
    <t>EA991CN-3</t>
  </si>
  <si>
    <t>500ml グリースポンプ</t>
  </si>
  <si>
    <t>0656</t>
  </si>
  <si>
    <t>EA991CC-4</t>
  </si>
  <si>
    <t>500ml グリースポンプ(黄)</t>
  </si>
  <si>
    <t>0661</t>
  </si>
  <si>
    <t>EA817BA-3</t>
  </si>
  <si>
    <t>φ3.0mm コレット(φ 8mmﾎﾙﾀﾞｰ用)</t>
  </si>
  <si>
    <t>EA817BA-4</t>
  </si>
  <si>
    <t>φ4.0mm コレット(φ 8mmﾎﾙﾀﾞｰ用)</t>
  </si>
  <si>
    <t>EA817BA-8</t>
  </si>
  <si>
    <t>φ0.8mm コレット(φ12mmﾎﾙﾀﾞｰ用)</t>
  </si>
  <si>
    <t>EA817BA-9</t>
  </si>
  <si>
    <t>φ0.9mm コレット(φ12mmﾎﾙﾀﾞｰ用)</t>
  </si>
  <si>
    <t>EA817BA-10</t>
  </si>
  <si>
    <t>φ1.0mm コレット(φ12mmﾎﾙﾀﾞｰ用)</t>
  </si>
  <si>
    <t>EA817BA-11</t>
  </si>
  <si>
    <t>φ1.1mm コレット(φ12mmﾎﾙﾀﾞｰ用)</t>
  </si>
  <si>
    <t>EA817BA-12</t>
  </si>
  <si>
    <t>φ1.2mm コレット(φ12mmﾎﾙﾀﾞｰ用)</t>
  </si>
  <si>
    <t>EA817BA-13</t>
  </si>
  <si>
    <t>φ1.3mm コレット(φ12mmﾎﾙﾀﾞｰ用)</t>
  </si>
  <si>
    <t>EA817BA-14</t>
  </si>
  <si>
    <t>φ1.4mm コレット(φ12mmﾎﾙﾀﾞｰ用)</t>
  </si>
  <si>
    <t>EA817BA-15</t>
  </si>
  <si>
    <t>φ1.5mm コレットφ12mmﾎﾙﾀﾞｰ用)</t>
  </si>
  <si>
    <t>EA817BA-16</t>
  </si>
  <si>
    <t>φ1.6mm コレット(φ12mmﾎﾙﾀﾞｰ用)</t>
  </si>
  <si>
    <t>EA817BA-17</t>
  </si>
  <si>
    <t>φ1.7mm コレット(φ12mmﾎﾙﾀﾞｰ用)</t>
  </si>
  <si>
    <t>EA817BA-18</t>
  </si>
  <si>
    <t>φ1.8mm コレット(φ12mmﾎﾙﾀﾞｰ用)</t>
  </si>
  <si>
    <t>EA817BA-19</t>
  </si>
  <si>
    <t>φ1.9mm コレット(φ12mmﾎﾙﾀﾞｰ用)</t>
  </si>
  <si>
    <t>EA817BA-20</t>
  </si>
  <si>
    <t>φ2.0mm コレット(φ12mmﾎﾙﾀﾞｰ用)</t>
  </si>
  <si>
    <t>EA817BA-21</t>
  </si>
  <si>
    <t>φ2.1mm コレット(φ12mmﾎﾙﾀﾞｰ用)</t>
  </si>
  <si>
    <t>EA817BA-22</t>
  </si>
  <si>
    <t>φ2.2mm コレット(φ12mmﾎﾙﾀﾞｰ用)</t>
  </si>
  <si>
    <t>EA817BA-23</t>
  </si>
  <si>
    <t>φ2.3mm コレット(φ12mmﾎﾙﾀﾞｰ用)</t>
  </si>
  <si>
    <t>EA817BA-24</t>
  </si>
  <si>
    <t>φ2.4mm コレット(φ12mmﾎﾙﾀﾞｰ用)</t>
  </si>
  <si>
    <t>EA817BA-25</t>
  </si>
  <si>
    <t>φ2.5mm コレット(φ12mmﾎﾙﾀﾞｰ用)</t>
  </si>
  <si>
    <t>EA817BA-26</t>
  </si>
  <si>
    <t>φ2.6mm コレット(φ12mmﾎﾙﾀﾞｰ用)</t>
  </si>
  <si>
    <t>EA817BA-27</t>
  </si>
  <si>
    <t>φ2.7mm コレット(φ12mmﾎﾙﾀﾞｰ用)</t>
  </si>
  <si>
    <t>EA817BA-28</t>
  </si>
  <si>
    <t>φ2.8mm コレット(φ12mmﾎﾙﾀﾞｰ用)</t>
  </si>
  <si>
    <t>EA817BA-29</t>
  </si>
  <si>
    <t>φ2.9mm コレット(φ12mmﾎﾙﾀﾞｰ用)</t>
  </si>
  <si>
    <t>EA817BA-30</t>
  </si>
  <si>
    <t>φ3.0mm コレット(φ12mmﾎﾙﾀﾞｰ用)</t>
  </si>
  <si>
    <t>EA817BA-31</t>
  </si>
  <si>
    <t>φ3.1mm コレット(φ12mmﾎﾙﾀﾞｰ用)</t>
  </si>
  <si>
    <t>EA817BA-32</t>
  </si>
  <si>
    <t>φ3.2mm コレット(φ12mmﾎﾙﾀﾞｰ用)</t>
  </si>
  <si>
    <t>EA817BA-33</t>
  </si>
  <si>
    <t>φ3.3mm コレット(φ12mmﾎﾙﾀﾞｰ用)</t>
  </si>
  <si>
    <t>EA817BA-34</t>
  </si>
  <si>
    <t>φ3.4mm コレット(φ12mmﾎﾙﾀﾞｰ用)</t>
  </si>
  <si>
    <t>EA817BA-35</t>
  </si>
  <si>
    <t>φ3.5mm コレット(φ12mmﾎﾙﾀﾞｰ用)</t>
  </si>
  <si>
    <t>EA817BA-36</t>
  </si>
  <si>
    <t>φ3.6mm コレット(φ12mmﾎﾙﾀﾞｰ用)</t>
  </si>
  <si>
    <t>EA817BA-37</t>
  </si>
  <si>
    <t>φ3.7mm コレット(φ12mmﾎﾙﾀﾞｰ用)</t>
  </si>
  <si>
    <t>EA817BA-38</t>
  </si>
  <si>
    <t>φ3.8mm コレット(φ12mmﾎﾙﾀﾞｰ用)</t>
  </si>
  <si>
    <t>EA817BA-39</t>
  </si>
  <si>
    <t>φ3.9mm コレット(φ12mmﾎﾙﾀﾞｰ用)</t>
  </si>
  <si>
    <t>EA817BA-40</t>
  </si>
  <si>
    <t>φ4.0mm コレット(φ12mmﾎﾙﾀﾞｰ用)</t>
  </si>
  <si>
    <t>EA817BA-41</t>
  </si>
  <si>
    <t>φ4.1mm コレット(φ12mmﾎﾙﾀﾞｰ用)</t>
  </si>
  <si>
    <t>EA817BA-42</t>
  </si>
  <si>
    <t>φ4.2mm コレット(φ12mmﾎﾙﾀﾞｰ用)</t>
  </si>
  <si>
    <t>EA817BA-43</t>
  </si>
  <si>
    <t>φ4.3mm コレット(φ12mmﾎﾙﾀﾞｰ用)</t>
  </si>
  <si>
    <t>EA817BA-44</t>
  </si>
  <si>
    <t>φ4.4mm コレット(φ12mmﾎﾙﾀﾞｰ用)</t>
  </si>
  <si>
    <t>EA817BA-45</t>
  </si>
  <si>
    <t>φ4.5mm コレット(φ12mmﾎﾙﾀﾞｰ用)</t>
  </si>
  <si>
    <t>EA817BA-46</t>
  </si>
  <si>
    <t>φ4.6mm コレット(φ12mmﾎﾙﾀﾞｰ用)</t>
  </si>
  <si>
    <t>EA817BA-47</t>
  </si>
  <si>
    <t>φ4.7mm コレット(φ12mmﾎﾙﾀﾞｰ用)</t>
  </si>
  <si>
    <t>EA817BA-48</t>
  </si>
  <si>
    <t>φ4.8mm コレット(φ12mmﾎﾙﾀﾞｰ用)</t>
  </si>
  <si>
    <t>EA817BA-49</t>
  </si>
  <si>
    <t>φ4.9mm コレット(φ12mmﾎﾙﾀﾞｰ用)</t>
  </si>
  <si>
    <t>EA817BA-50</t>
  </si>
  <si>
    <t>φ5.0mm コレット(φ12mmﾎﾙﾀﾞｰ用)</t>
  </si>
  <si>
    <t>EA817BA-51</t>
  </si>
  <si>
    <t>φ5.1mm コレット(φ12mmﾎﾙﾀﾞｰ用)</t>
  </si>
  <si>
    <t>EA817BA-52</t>
  </si>
  <si>
    <t>φ5.2mm コレット(φ12mmﾎﾙﾀﾞｰ用)</t>
  </si>
  <si>
    <t>EA817BA-53</t>
  </si>
  <si>
    <t>φ5.3mm コレット(φ12mmﾎﾙﾀﾞｰ用)</t>
  </si>
  <si>
    <t>EA817BA-54</t>
  </si>
  <si>
    <t>φ5.4mm コレット(φ12mmﾎﾙﾀﾞｰ用)</t>
  </si>
  <si>
    <t>EA817BA-55</t>
  </si>
  <si>
    <t>φ5.5mm コレット(φ12mmﾎﾙﾀﾞｰ用)</t>
  </si>
  <si>
    <t>EA817BA-56</t>
  </si>
  <si>
    <t>φ5.6mm コレット(φ12mmﾎﾙﾀﾞｰ用)</t>
  </si>
  <si>
    <t>EA817BA-57</t>
  </si>
  <si>
    <t>φ5.7mm コレット(φ12mmﾎﾙﾀﾞｰ用)</t>
  </si>
  <si>
    <t>EA817BA-58</t>
  </si>
  <si>
    <t>φ5.8mm コレット(φ12mmﾎﾙﾀﾞｰ用)</t>
  </si>
  <si>
    <t>EA817BA-59</t>
  </si>
  <si>
    <t>φ5.9mm コレット(φ12mmﾎﾙﾀﾞｰ用)</t>
  </si>
  <si>
    <t>EA817BA-60</t>
  </si>
  <si>
    <t>φ6.0mm コレット(φ12mmﾎﾙﾀﾞｰ用)</t>
  </si>
  <si>
    <t>EA817BA-61</t>
  </si>
  <si>
    <t>φ6.1mm コレット(φ12mmﾎﾙﾀﾞｰ用)</t>
  </si>
  <si>
    <t>EA817BA-62</t>
  </si>
  <si>
    <t>φ6.2mm コレット(φ12mmﾎﾙﾀﾞｰ用)</t>
  </si>
  <si>
    <t>EA817BA-63</t>
  </si>
  <si>
    <t>φ6.3mm コレット(φ12mmﾎﾙﾀﾞｰ用)</t>
  </si>
  <si>
    <t>EA817BA-64</t>
  </si>
  <si>
    <t>φ6.4mm コレット(φ12mmﾎﾙﾀﾞｰ用)</t>
  </si>
  <si>
    <t>EA817BA-65</t>
  </si>
  <si>
    <t>φ6.5mm コレット(φ12mmﾎﾙﾀﾞｰ用)</t>
  </si>
  <si>
    <t>EA817BA-103</t>
  </si>
  <si>
    <t>φ3.0mm コレット(φ16mmﾎﾙﾀﾞｰ用)</t>
  </si>
  <si>
    <t>EA817BA-104</t>
  </si>
  <si>
    <t>φ4.0mm コレット(φ16mmﾎﾙﾀﾞｰ用)</t>
  </si>
  <si>
    <t>EA817BA-106</t>
  </si>
  <si>
    <t>φ6.0mm コレット(φ16mmﾎﾙﾀﾞｰ用)</t>
  </si>
  <si>
    <t>EA817BA-108</t>
  </si>
  <si>
    <t>φ8.0mm コレット(φ16mmﾎﾙﾀﾞｰ用)</t>
  </si>
  <si>
    <t>EA817BA-110</t>
  </si>
  <si>
    <t>φ10.0mm コレット(φ16mmﾎﾙﾀﾞｰ用)</t>
  </si>
  <si>
    <t>EA817BA-121</t>
  </si>
  <si>
    <t>φ 8.0x 60mm ホルダー</t>
  </si>
  <si>
    <t>EA817BA-122</t>
  </si>
  <si>
    <t>φ 8.0x100mm ホルダー</t>
  </si>
  <si>
    <t>EA817BA-131</t>
  </si>
  <si>
    <t>φ12.0x 60mm ホルダー</t>
  </si>
  <si>
    <t>EA817BA-132</t>
  </si>
  <si>
    <t>φ12.0x100mm ホルダー</t>
  </si>
  <si>
    <t>EA817BA-133</t>
  </si>
  <si>
    <t>φ12.0x150mm ホルダー</t>
  </si>
  <si>
    <t>EA817BA-138</t>
  </si>
  <si>
    <t>φ16.0x150mm ホルダー</t>
  </si>
  <si>
    <t>EA817BA-139</t>
  </si>
  <si>
    <t>φ16.0x200mm ホルダー</t>
  </si>
  <si>
    <t>EA817BA-141</t>
  </si>
  <si>
    <t>引きボルト(φ 8x 60mmﾎﾙﾀﾞｰ用)</t>
  </si>
  <si>
    <t>EA817BA-142</t>
  </si>
  <si>
    <t>引きボルト(φ 8x100mmﾎﾙﾀﾞｰ用)</t>
  </si>
  <si>
    <t>EA817BA-151</t>
  </si>
  <si>
    <t>引きボルト(φ12x 60mmﾎﾙﾀﾞｰ用)</t>
  </si>
  <si>
    <t>EA817BA-152</t>
  </si>
  <si>
    <t>引きボルト(φ12x100mmﾎﾙﾀﾞｰ用)</t>
  </si>
  <si>
    <t>EA817BA-153</t>
  </si>
  <si>
    <t>引きボルト(φ12x150mmﾎﾙﾀﾞｰ用)</t>
  </si>
  <si>
    <t>EA817BA-158</t>
  </si>
  <si>
    <t>引きボルト(φ16x150mmﾎﾙﾀﾞｰ用)</t>
  </si>
  <si>
    <t>EA817BA-159</t>
  </si>
  <si>
    <t>引きボルト(φ16x200mmﾎﾙﾀﾞｰ用)</t>
  </si>
  <si>
    <t>0664</t>
  </si>
  <si>
    <t>EA781BH-1</t>
  </si>
  <si>
    <t>AC100V/16W  脱磁器</t>
  </si>
  <si>
    <t>0665</t>
  </si>
  <si>
    <t>EA637C-14</t>
  </si>
  <si>
    <t>M12/呼14 ステップクランプセット</t>
  </si>
  <si>
    <t>EA637CF-12</t>
  </si>
  <si>
    <t>M12-14/125mm クランククランプ</t>
  </si>
  <si>
    <t>EA637BF-22</t>
  </si>
  <si>
    <t>M20/160mm ｻﾎﾟｰﾄｽｸﾘｭｰ付ステップクランプ</t>
  </si>
  <si>
    <t>0674</t>
  </si>
  <si>
    <t>EA639YB-3</t>
  </si>
  <si>
    <t>50kg トグルクランプ</t>
  </si>
  <si>
    <t>EA595AK-55</t>
  </si>
  <si>
    <t>0.6x120mm/231  精密用ピンセット(ｽﾃﾝﾚｽ製)</t>
  </si>
  <si>
    <t>EA595LC-2</t>
  </si>
  <si>
    <t>125mm ロックピンセット(曲/ｽﾃﾚﾝｽ製)</t>
  </si>
  <si>
    <t>0693</t>
  </si>
  <si>
    <t>EA756TE-1</t>
  </si>
  <si>
    <t>x2.0/130mm 拡大鏡(調光LED照明付)</t>
  </si>
  <si>
    <t>EA756TS-1A</t>
  </si>
  <si>
    <t>x2.0/φ130mm スタンド型ルーペ(LEDﾗｲﾄ付)</t>
  </si>
  <si>
    <t>0694</t>
  </si>
  <si>
    <t>EA800LX-3</t>
  </si>
  <si>
    <t>＋2.5 シニアグラス</t>
  </si>
  <si>
    <t>0696</t>
  </si>
  <si>
    <t>EA756CA-10</t>
  </si>
  <si>
    <t>x2.2/x2.5/x2.8/x3.1/x3.4/65mm ルーペ</t>
  </si>
  <si>
    <t>EA756CB-10</t>
  </si>
  <si>
    <t>x3.0/ 65mm ハンドルーペ</t>
  </si>
  <si>
    <t>EA756FA-1</t>
  </si>
  <si>
    <t>EA756CB-73</t>
  </si>
  <si>
    <t>x2.0/ 26x122mm スティックルーペ</t>
  </si>
  <si>
    <t>EA304ZR</t>
  </si>
  <si>
    <t>半田ごてキット(ｶﾞｽ式)</t>
  </si>
  <si>
    <t>0699</t>
  </si>
  <si>
    <t>EA304MB-10</t>
  </si>
  <si>
    <t>AC100V/20W 半田ごてセット</t>
  </si>
  <si>
    <t>EA304P-60</t>
  </si>
  <si>
    <t>AC100V/ 60W 半田ごて(ﾎﾟｰﾀﾌﾞﾙ型)</t>
  </si>
  <si>
    <t>0702</t>
  </si>
  <si>
    <t>EA305ZA</t>
  </si>
  <si>
    <t>半田ごて台</t>
  </si>
  <si>
    <t>0703</t>
  </si>
  <si>
    <t>EA305ZC-2</t>
  </si>
  <si>
    <t>こて先クリーナー</t>
  </si>
  <si>
    <t>EA311CC-23</t>
  </si>
  <si>
    <t>1.6mm/1Kg  巻はんだ</t>
  </si>
  <si>
    <t>EA311CD-22</t>
  </si>
  <si>
    <t>1.2mm/1Kg  巻はんだ(ﾌﾗｯｸｽ入)</t>
  </si>
  <si>
    <t>EA311CE-24</t>
  </si>
  <si>
    <t>2.0mm/1kg  巻はんだ</t>
  </si>
  <si>
    <t>0705</t>
  </si>
  <si>
    <t>EA321A-11</t>
  </si>
  <si>
    <t>18mm 指サック(導電性)</t>
  </si>
  <si>
    <t>EA321A-12</t>
  </si>
  <si>
    <t>20mm 指サック(導電性)</t>
  </si>
  <si>
    <t>0706</t>
  </si>
  <si>
    <t>EA997RB-26</t>
  </si>
  <si>
    <t>1.2x 10m/2.0mm 導電性テーブルマット</t>
  </si>
  <si>
    <t>0710</t>
  </si>
  <si>
    <t>EA956XW-10</t>
  </si>
  <si>
    <t>クリーンルーム･チェアー</t>
  </si>
  <si>
    <t>0712</t>
  </si>
  <si>
    <t>EA109DY-110</t>
  </si>
  <si>
    <t>φ6.5x165mm 精密用ｸﾘｰﾆﾝｸﾞｽﾃｨｯｸ(20本)</t>
  </si>
  <si>
    <t>0718</t>
  </si>
  <si>
    <t>EA720ME-23</t>
  </si>
  <si>
    <t>100+110cm 検測ロッド</t>
  </si>
  <si>
    <t>0727</t>
  </si>
  <si>
    <t>EA720JK-22</t>
  </si>
  <si>
    <t>6mmx2.0m メジャー(ｷｰﾘﾝｸﾞ付)</t>
  </si>
  <si>
    <t>EA720CR-5H</t>
  </si>
  <si>
    <t>25mmx5.5m メジャー(ﾎﾙﾀﾞｰ付)</t>
  </si>
  <si>
    <t>0731</t>
  </si>
  <si>
    <t>EA719AG-21</t>
  </si>
  <si>
    <t>200mm スクエアー(ﾂｰｳｪｲ)</t>
  </si>
  <si>
    <t>EA719AG-22</t>
  </si>
  <si>
    <t>350mm スクエアー(ﾂｰｳｪｲ)</t>
  </si>
  <si>
    <t>EA719JA-3</t>
  </si>
  <si>
    <t>200x63x73mm 角材定規(台形止型/ｱﾙﾐ製)</t>
  </si>
  <si>
    <t>0733</t>
  </si>
  <si>
    <t>EA581DA-10</t>
  </si>
  <si>
    <t>12m  墨つぼ</t>
  </si>
  <si>
    <t>EA581DA-32</t>
  </si>
  <si>
    <t>21m  墨つぼ(青)</t>
  </si>
  <si>
    <t>EA581AD-21</t>
  </si>
  <si>
    <t>300g 粉チョーク(白)</t>
  </si>
  <si>
    <t>0737</t>
  </si>
  <si>
    <t>EA780KA-6</t>
  </si>
  <si>
    <t>レーザーライン (ｸﾞﾘｰﾝﾚｰｻﾞｰ)</t>
  </si>
  <si>
    <t>EA721JM-1A</t>
  </si>
  <si>
    <t>230mm 水平器(蓄光ﾌﾚｰﾑ/強力ﾏｸﾞﾈｯﾄ付)</t>
  </si>
  <si>
    <t>EA721K-5</t>
  </si>
  <si>
    <t>60x20x30mm  レベル(ﾎﾟｹｯﾄ型)</t>
  </si>
  <si>
    <t>0741</t>
  </si>
  <si>
    <t>EA721K-15A</t>
  </si>
  <si>
    <t>95mm ポケットレベル(ﾏｸﾞﾈｯﾄ付)</t>
  </si>
  <si>
    <t>EA721K-16</t>
  </si>
  <si>
    <t>80mm ミニレベル</t>
  </si>
  <si>
    <t>0742</t>
  </si>
  <si>
    <t>EA721KE-1</t>
  </si>
  <si>
    <t>70x70x17mm ポケット傾斜計</t>
  </si>
  <si>
    <t>0745</t>
  </si>
  <si>
    <t>EA719AM-2</t>
  </si>
  <si>
    <t>150x100mm スクエアー･台付(目盛付)</t>
  </si>
  <si>
    <t>EA720YC-15</t>
  </si>
  <si>
    <t>150x18mm/ 6" 直尺(ｽﾃﾝﾚｽ製)</t>
  </si>
  <si>
    <t>EA720YN-11</t>
  </si>
  <si>
    <t>500mm 鋼製ｽﾄﾚｰﾄｴｯｼﾞ(目盛付)</t>
  </si>
  <si>
    <t>EA720YN-47</t>
  </si>
  <si>
    <t>600mm 鋼製ｽﾄﾚｰﾄｴｯｼﾞ(ﾍﾞﾍﾞﾙ型A級)</t>
  </si>
  <si>
    <t>EA725C-21</t>
  </si>
  <si>
    <t>200mm ノギス(ﾀﾞｲｱﾙ付)</t>
  </si>
  <si>
    <t>0754</t>
  </si>
  <si>
    <t>EA725BE-11</t>
  </si>
  <si>
    <t>250x 90mm ノギス(微調整付)</t>
  </si>
  <si>
    <t>0756</t>
  </si>
  <si>
    <t>EA725SH-53A</t>
  </si>
  <si>
    <t>1.00-1.50mm/51本組 ピンゲージ</t>
  </si>
  <si>
    <t>EA725RB-41</t>
  </si>
  <si>
    <t>0.025x127mm シクネスゲージ(ｽﾃﾝﾚｽ製/10枚)</t>
  </si>
  <si>
    <t>EA725WX-1</t>
  </si>
  <si>
    <t>EA725WX-5</t>
  </si>
  <si>
    <t>0766</t>
  </si>
  <si>
    <t>EA706WK-3</t>
  </si>
  <si>
    <t>1.2～220mm 超音波厚さ計</t>
  </si>
  <si>
    <t>0768</t>
  </si>
  <si>
    <t>EA470CR-12</t>
  </si>
  <si>
    <t>G 3/8"xRc3/8"ﾆｰﾄﾞﾙﾊﾞﾙﾌﾞ(圧力計/ﾛﾝｸﾞﾊﾝﾄﾞﾙ</t>
  </si>
  <si>
    <t>EA729HD-22</t>
  </si>
  <si>
    <t>G 3/8"xR 3/8" ゲージコック(黄銅)</t>
  </si>
  <si>
    <t>0772</t>
  </si>
  <si>
    <t>EA715DF-1A</t>
  </si>
  <si>
    <t>1.0kg(0.5g) 台はかり</t>
  </si>
  <si>
    <t>EA715DF-2A</t>
  </si>
  <si>
    <t>2.0kg(1.0g) 台はかり</t>
  </si>
  <si>
    <t>0773</t>
  </si>
  <si>
    <t>EA715CH-24</t>
  </si>
  <si>
    <t>10.0kg( 5g) 防水･防塵デジタルはかり</t>
  </si>
  <si>
    <t>EA715CH-25</t>
  </si>
  <si>
    <t>20.0kg(10g) 防水･防塵デジタルはかり</t>
  </si>
  <si>
    <t>0777</t>
  </si>
  <si>
    <t>EA742JG-12</t>
  </si>
  <si>
    <t>[EA742JG用]ＯＲＰセンサー</t>
  </si>
  <si>
    <t>EA776AH-12</t>
  </si>
  <si>
    <t>ペーハー計(土壌用)</t>
  </si>
  <si>
    <t>EA707A-26</t>
  </si>
  <si>
    <t>[EA707A-30,-36用] クランプセンサー</t>
  </si>
  <si>
    <t>0811</t>
  </si>
  <si>
    <t>EA743CS-1</t>
  </si>
  <si>
    <t>風速・温度センサー</t>
  </si>
  <si>
    <t>EA742GB-76</t>
  </si>
  <si>
    <t>[EA742GB-2A,-3A用] 温度ｾﾝｻｰ(防水型)</t>
  </si>
  <si>
    <t>EA742GD-10</t>
  </si>
  <si>
    <t>データロガー親機(中継器兼用)</t>
  </si>
  <si>
    <t>0815</t>
  </si>
  <si>
    <t>EA743AK-100A</t>
  </si>
  <si>
    <t>マルチ環境計測器セット</t>
  </si>
  <si>
    <t>0824</t>
  </si>
  <si>
    <t>EA728EB-58</t>
  </si>
  <si>
    <t>デジタル最高･最低温度･湿度計</t>
  </si>
  <si>
    <t>0826</t>
  </si>
  <si>
    <t>EA728G-81</t>
  </si>
  <si>
    <t>134x48mm 温度計(室内･室外/ﾏｸﾞﾈｯﾄ式)</t>
  </si>
  <si>
    <t>EA728GJ-18</t>
  </si>
  <si>
    <t>φ71mm  冷蔵庫用温度計</t>
  </si>
  <si>
    <t>0829</t>
  </si>
  <si>
    <t>EA701AP-11</t>
  </si>
  <si>
    <t>+40～+200ﾟC 食用油テスター(温度･劣化度)</t>
  </si>
  <si>
    <t>0830</t>
  </si>
  <si>
    <t>EA727AA-81</t>
  </si>
  <si>
    <t>0-150℃/ 50mm バイメタル式温度計</t>
  </si>
  <si>
    <t>0836</t>
  </si>
  <si>
    <t>EA809XW-2</t>
  </si>
  <si>
    <t>AC100V/190W( 93x230mm) 吸塵サンダー</t>
  </si>
  <si>
    <t>EA854BS-10</t>
  </si>
  <si>
    <t>DC10.8V ジグソー(充電式)</t>
  </si>
  <si>
    <t>0842</t>
  </si>
  <si>
    <t>EA809BF-10C</t>
  </si>
  <si>
    <t>100mm/1600W 電子ﾃﾞｨｽｸｸﾞﾗｲﾝﾀﾞｰｾｯﾄ</t>
  </si>
  <si>
    <t>0844</t>
  </si>
  <si>
    <t>EA803AC-5</t>
  </si>
  <si>
    <t>ルータースタンド</t>
  </si>
  <si>
    <t>0845</t>
  </si>
  <si>
    <t>EA858HD-5</t>
  </si>
  <si>
    <t>[EA858HD,HE用] φ6.0mm 丸穴用ポンチ</t>
  </si>
  <si>
    <t>EA813DD-6C</t>
  </si>
  <si>
    <t>DC14.4V ｺｰﾅｰｲﾝﾊﾟｸﾄﾄﾞﾗｲﾊﾞｰ(充電式)</t>
  </si>
  <si>
    <t>0851</t>
  </si>
  <si>
    <t>EA809BX-91</t>
  </si>
  <si>
    <t>100mm/10.8V ディスクグラインダー(充電式)</t>
  </si>
  <si>
    <t>0856</t>
  </si>
  <si>
    <t>EA801BC-4B</t>
  </si>
  <si>
    <t>13mm/ 720W 振動ドリル(正逆転･無段変速)</t>
  </si>
  <si>
    <t>EA818ER-2A</t>
  </si>
  <si>
    <t>AC100V/16,500rpm マイクログラインダー</t>
  </si>
  <si>
    <t>0859</t>
  </si>
  <si>
    <t>EA851AA-3D</t>
  </si>
  <si>
    <t>φ147mm 電動丸鋸</t>
  </si>
  <si>
    <t>EA851AC-2A</t>
  </si>
  <si>
    <t>φ165mm 電動丸鋸</t>
  </si>
  <si>
    <t>0861</t>
  </si>
  <si>
    <t>EA802K-38</t>
  </si>
  <si>
    <t>[EA802K-6･21用]φ150替スクリュー(ｽﾃﾝﾚｽ)</t>
  </si>
  <si>
    <t>0862</t>
  </si>
  <si>
    <t>EA813RT-5D</t>
  </si>
  <si>
    <t>DC14.4V インパクトドライバー(充電式)</t>
  </si>
  <si>
    <t>0863</t>
  </si>
  <si>
    <t>EA813RV-6</t>
  </si>
  <si>
    <t>0870</t>
  </si>
  <si>
    <t>EA813WA-42</t>
  </si>
  <si>
    <t>[EA813WA-20･809XV-1用]#120ｻﾝﾄﾞﾍﾟｰﾊﾟｰ(3枚</t>
  </si>
  <si>
    <t>0878</t>
  </si>
  <si>
    <t>EA851AN-11</t>
  </si>
  <si>
    <t>[EA851AN-1用] 替刃</t>
  </si>
  <si>
    <t>EA851AN-20</t>
  </si>
  <si>
    <t>[EA851AN-1,-2用]スティックワックス(10本)</t>
  </si>
  <si>
    <t>EA896HC-12</t>
  </si>
  <si>
    <t>150x 840mm/400W ラバーヒーター(一斗缶用)</t>
  </si>
  <si>
    <t>0888</t>
  </si>
  <si>
    <t>EA860B-2A</t>
  </si>
  <si>
    <t>AC100V/20A(DC12V/ 8A) 発電機</t>
  </si>
  <si>
    <t>0890</t>
  </si>
  <si>
    <t>EA812-22</t>
  </si>
  <si>
    <t>AC100V→DC24V/10A 直流安定化電源</t>
  </si>
  <si>
    <t>EA815D-5</t>
  </si>
  <si>
    <t>322x391x420mm 空リール</t>
  </si>
  <si>
    <t>EA815SS-8B</t>
  </si>
  <si>
    <t>AC125V/ 6Ax 20m コードリール(自動巻)</t>
  </si>
  <si>
    <t>EA815BF-40</t>
  </si>
  <si>
    <t>AC125V/15A/30m コードリール(防雨･ｱｰｽ付)</t>
  </si>
  <si>
    <t>EA815DE-30</t>
  </si>
  <si>
    <t>AC100V/15A/30m ｺｰﾄﾞﾘｰﾙ(漏電遮断器付)</t>
  </si>
  <si>
    <t>EA940MH-14</t>
  </si>
  <si>
    <t>15A/1m [防雨型]過負荷･漏電保護兼用ﾌﾟﾗｸﾞ</t>
  </si>
  <si>
    <t>0899</t>
  </si>
  <si>
    <t>EA815GA-69</t>
  </si>
  <si>
    <t>AC125V/15Ax7.0 m 延長コード(抜け止め型)</t>
  </si>
  <si>
    <t>0900</t>
  </si>
  <si>
    <t>EA815GM-222</t>
  </si>
  <si>
    <t>AC125V/15Ax 1.0m タップ(4口)</t>
  </si>
  <si>
    <t>EA815GM-226</t>
  </si>
  <si>
    <t>AC125V/15Ax 7.0m タップ(4口)</t>
  </si>
  <si>
    <t>0901</t>
  </si>
  <si>
    <t>EA815HJ-31A</t>
  </si>
  <si>
    <t>AC125V/15Ax2.0m ｺﾝｾﾝﾄ/ねじ止</t>
  </si>
  <si>
    <t>0902</t>
  </si>
  <si>
    <t>EA815GM-234</t>
  </si>
  <si>
    <t>AC125V/4A タップ(USBﾎﾟｰﾄ2個/ｼｬｯﾀｰ付)</t>
  </si>
  <si>
    <t>EA815GM-340</t>
  </si>
  <si>
    <t>2m/8口3P タップ(ﾉｲｽﾞﾌｨﾙﾀ/手元ｽｲｯﾁ/BOX型)</t>
  </si>
  <si>
    <t>0908</t>
  </si>
  <si>
    <t>EA940CD-110A</t>
  </si>
  <si>
    <t>タップ用マグネット</t>
  </si>
  <si>
    <t>0921</t>
  </si>
  <si>
    <t>EA824PA-6.0</t>
  </si>
  <si>
    <t>6.0x 65mm 超硬ドリル(TiAlN coat)</t>
  </si>
  <si>
    <t>EA824BY-10</t>
  </si>
  <si>
    <t>3.0-6.5mm10本組ｽﾃﾝﾚｽ用ﾄﾞﾘﾙ(CO-HSS/六角軸</t>
  </si>
  <si>
    <t>EA824DL-32</t>
  </si>
  <si>
    <t>2.0- 5.0㎜/ 6本組 六角軸ドリル(HSS)</t>
  </si>
  <si>
    <t>0925</t>
  </si>
  <si>
    <t>EA824PJ-4.0</t>
  </si>
  <si>
    <t>4.0x 82mm 薄板ドリル(六角軸/HSS)</t>
  </si>
  <si>
    <t>EA824PJ-8.5</t>
  </si>
  <si>
    <t>8.5x 95mm 薄板ドリル(六角軸/HSS)</t>
  </si>
  <si>
    <t>EA824ME-4</t>
  </si>
  <si>
    <t>4.2x 45mm 沈めフライス(六角穴付ﾎﾞｰﾙﾄ用)</t>
  </si>
  <si>
    <t>0928</t>
  </si>
  <si>
    <t>EA827FC-200</t>
  </si>
  <si>
    <t>20.5mm/1/4"Hex ｶｳﾝﾀｰｼﾝｸﾊﾝﾄﾞﾙ(ﾋﾞｯﾄ付)</t>
  </si>
  <si>
    <t>EA827HB-2</t>
  </si>
  <si>
    <t>12.4-20.5mm ｶｳﾝﾀｰｼﾝｸ(1/4"六角軸･５本組)</t>
  </si>
  <si>
    <t>EA827JS-16</t>
  </si>
  <si>
    <t>16.0mm カウンターシンク(1/4"六角軸･HSS)</t>
  </si>
  <si>
    <t>EA824RB-2.5</t>
  </si>
  <si>
    <t>2.5x 50mm ｴﾝﾄﾞﾐﾙ(TiN coat･Co-HSS/4枚刃)</t>
  </si>
  <si>
    <t>EA824RE-8.0</t>
  </si>
  <si>
    <t>8.0x 90mm ｴﾝﾄﾞﾐﾙ(TiAlN coat/超硬･ﾎﾞｰﾙ)</t>
  </si>
  <si>
    <t>EA827HV-1</t>
  </si>
  <si>
    <t>3.0x110mm/MT-1 マシンリーマー</t>
  </si>
  <si>
    <t>EA827HV-6</t>
  </si>
  <si>
    <t>8.0x150mm/MT-1 マシンリーマー</t>
  </si>
  <si>
    <t>EA829HA-30G</t>
  </si>
  <si>
    <t>M30x 2.0/  9P ハンドタップ(HSS)</t>
  </si>
  <si>
    <t>0950</t>
  </si>
  <si>
    <t>EA591RB-50</t>
  </si>
  <si>
    <t>#50/P 0.50mm ローレット(右斜め目)</t>
  </si>
  <si>
    <t>EA818E-166</t>
  </si>
  <si>
    <t>6.4x11.5mm/2.35mm軸 ゴム砥石</t>
  </si>
  <si>
    <t>EA819WM-143</t>
  </si>
  <si>
    <t>10本組/#400 軸付き砥石セット(2.35mm軸)</t>
  </si>
  <si>
    <t>0974</t>
  </si>
  <si>
    <t>EA819DL-17</t>
  </si>
  <si>
    <t>15x10x60mm ダイヤモンドバー(6mm軸)</t>
  </si>
  <si>
    <t>EA819SX-11</t>
  </si>
  <si>
    <t>5.0Rx 10mm/6mm軸 面取ダイヤバー</t>
  </si>
  <si>
    <t>0983</t>
  </si>
  <si>
    <t>EA823L-211</t>
  </si>
  <si>
    <t>13x140mm ｴｸｽﾃﾝｼｮﾝﾊﾞｰ(ｱｰﾊﾞｰ用/ﾜﾝﾀｯﾁ)</t>
  </si>
  <si>
    <t>EA811BH-18.0E</t>
  </si>
  <si>
    <t>18.0x450mm SDSプラスドリルビット</t>
  </si>
  <si>
    <t>EA811BH-25.0D</t>
  </si>
  <si>
    <t>25.0x250mm SDSプラスドリルビット</t>
  </si>
  <si>
    <t>0993</t>
  </si>
  <si>
    <t>EA810TB-450</t>
  </si>
  <si>
    <t>450mm ブルポイント</t>
  </si>
  <si>
    <t>EA824WP-30A</t>
  </si>
  <si>
    <t>30x330mm オーガービット(12mm 六角軸)</t>
  </si>
  <si>
    <t>EA828AC-13</t>
  </si>
  <si>
    <t>8x15mm ﾙｰﾀｰﾋﾞｯﾄ(浅溝3D･4分/ﾀﾌﾞﾃｰﾙ用)</t>
  </si>
  <si>
    <t>EA828AC-16</t>
  </si>
  <si>
    <t>12x20mm ﾙｰﾀｰﾋﾞｯﾄ(6D･5分/ﾀﾌﾞﾃｰﾙ用)</t>
  </si>
  <si>
    <t>0999</t>
  </si>
  <si>
    <t>EA854LG-41</t>
  </si>
  <si>
    <t>92mmx17-23T ｼﾞｸﾞｿｰﾌﾞﾚｰﾄﾞ(鉄･ｽﾃﾝﾚｽ用/3枚</t>
  </si>
  <si>
    <t>EA854LG-42</t>
  </si>
  <si>
    <t>92mmx17-23T ｼﾞｸﾞｿｰﾌﾞﾚｰﾄﾞ(鉄･ｽﾃﾝﾚｽ用/5枚</t>
  </si>
  <si>
    <t>EA857KA-4A</t>
  </si>
  <si>
    <t>150㎜x16T ﾚｼﾌﾟﾛｿｰﾌﾞﾚｰﾄﾞ(短尺/1枚)</t>
  </si>
  <si>
    <t>1001</t>
  </si>
  <si>
    <t>EA857AB-46</t>
  </si>
  <si>
    <t>200mm x  8T 湾曲ﾚｼﾌﾟﾛｿｰﾌﾞﾚｰﾄﾞ(2枚)</t>
  </si>
  <si>
    <t>EA857AB-48</t>
  </si>
  <si>
    <t>300mm x  8T 湾曲ﾚｼﾌﾟﾛｿｰﾌﾞﾚｰﾄﾞ(2枚)</t>
  </si>
  <si>
    <t>EA857L-76A</t>
  </si>
  <si>
    <t>100mmx24T レシプロソーブレード(5枚)</t>
  </si>
  <si>
    <t>1003</t>
  </si>
  <si>
    <t>EA809XG-5</t>
  </si>
  <si>
    <t>125mm マジックボンネット</t>
  </si>
  <si>
    <t>1010</t>
  </si>
  <si>
    <t>EA809CD-57</t>
  </si>
  <si>
    <t>100x15mm/#400 ディスクホイール (三面)</t>
  </si>
  <si>
    <t>EA809YP-21</t>
  </si>
  <si>
    <t>1015</t>
  </si>
  <si>
    <t>EA809-102</t>
  </si>
  <si>
    <t>φ100x15mm ﾀﾞｲﾔﾓﾝﾄﾞホイール</t>
  </si>
  <si>
    <t>EA809-103</t>
  </si>
  <si>
    <t>φ125x22mm ﾀﾞｲﾔﾓﾝﾄﾞホイール</t>
  </si>
  <si>
    <t>EA809XL-504</t>
  </si>
  <si>
    <t># 40/100x610mm 研磨ベルト(10枚)</t>
  </si>
  <si>
    <t>EA801XB-21</t>
  </si>
  <si>
    <t>1/4"x260mm ペイントミキサー</t>
  </si>
  <si>
    <t>1019</t>
  </si>
  <si>
    <t>EA819BJ-77</t>
  </si>
  <si>
    <t>10x50mm/6mm軸 軸付ワイヤブラシ</t>
  </si>
  <si>
    <t>1021</t>
  </si>
  <si>
    <t>EA819BL-131</t>
  </si>
  <si>
    <t>40mm 六角軸 軸付ブラシ(ｶｯﾌﾟ型/ﾅｲﾛﾝ)</t>
  </si>
  <si>
    <t>EA819BL-144</t>
  </si>
  <si>
    <t>65mm/#150六角軸軸付ﾌﾞﾗｼ(ｶｯﾌﾟ型/砥粒ﾅｲﾛﾝ)</t>
  </si>
  <si>
    <t>EA819BL-324</t>
  </si>
  <si>
    <t>19mm 六角軸付チューブラシ(真鍮)</t>
  </si>
  <si>
    <t>EA819BT-122</t>
  </si>
  <si>
    <t>13x50mm 6角軸 ワイヤーブラシ(ｽﾃﾝﾚｽ線)</t>
  </si>
  <si>
    <t>1026</t>
  </si>
  <si>
    <t>EA612AM-224</t>
  </si>
  <si>
    <t>24mm 電ドルソケット(固定･首振)</t>
  </si>
  <si>
    <t>EA612AB-224</t>
  </si>
  <si>
    <t>24mm 電ドルソケット(ﾋﾞｯﾄ交換式)</t>
  </si>
  <si>
    <t>1033</t>
  </si>
  <si>
    <t>EA155DE-3</t>
  </si>
  <si>
    <t>1/2"DR エアーインパクトレンチ</t>
  </si>
  <si>
    <t>EA155RH-6</t>
  </si>
  <si>
    <t>1/2"DR/450N･m ｴｱｰｲﾝﾊﾟｸﾄﾚﾝﾁ(低騒音型)</t>
  </si>
  <si>
    <t>1034</t>
  </si>
  <si>
    <t>EA155DK-2</t>
  </si>
  <si>
    <t>3/4"DR エアーインパクトレンチ</t>
  </si>
  <si>
    <t>1035</t>
  </si>
  <si>
    <t>EA155ED-3</t>
  </si>
  <si>
    <t>1"DR エアーインパクトレンチ</t>
  </si>
  <si>
    <t>EA157KB</t>
  </si>
  <si>
    <t>3/8"DR/ 30.0N･m エアーラチェットレンチ</t>
  </si>
  <si>
    <t>1036</t>
  </si>
  <si>
    <t>EA158SH-1</t>
  </si>
  <si>
    <t>10mm/1,800rpm エアードリル(正逆転)</t>
  </si>
  <si>
    <t>1038</t>
  </si>
  <si>
    <t>EA162SG</t>
  </si>
  <si>
    <t>15,000rpm/100mm ｴｱｰｱﾝｸﾞﾙｸﾞﾗｲﾝﾀﾞｰ</t>
  </si>
  <si>
    <t>1041</t>
  </si>
  <si>
    <t>EA127BL-22</t>
  </si>
  <si>
    <t>#100/2kg ｻﾝﾄﾞﾌﾞﾗｽﾄ用研磨材(ﾎﾜｲﾄｱﾗﾝﾀﾞﾑ)</t>
  </si>
  <si>
    <t>EA121DE-1</t>
  </si>
  <si>
    <t>エアーブラシキット</t>
  </si>
  <si>
    <t>1049</t>
  </si>
  <si>
    <t>EA123AC-13</t>
  </si>
  <si>
    <t>エアーブローガン(樹脂製)</t>
  </si>
  <si>
    <t>1050</t>
  </si>
  <si>
    <t>EA123KD-21</t>
  </si>
  <si>
    <t>大容量ロングノズルエアーガン</t>
  </si>
  <si>
    <t>1052</t>
  </si>
  <si>
    <t>EA987ZE-2</t>
  </si>
  <si>
    <t>0.6- 1.5kg/1.6m スプリングバランサー</t>
  </si>
  <si>
    <t>EA124B-4</t>
  </si>
  <si>
    <t>8.5㎜x48m エアーホースリール(ｳﾚﾀﾝ製)</t>
  </si>
  <si>
    <t>EA124BA-0</t>
  </si>
  <si>
    <t>30m迄 エアーホース用リール</t>
  </si>
  <si>
    <t>EA153SR-13A</t>
  </si>
  <si>
    <t>1059</t>
  </si>
  <si>
    <t>EA153SL-22</t>
  </si>
  <si>
    <t>Rc 1/4" 減圧弁(ｴｱｰﾌｨﾙﾀｰ/ﾌﾞﾗｹｯﾄ付)</t>
  </si>
  <si>
    <t>EA153SL-23A</t>
  </si>
  <si>
    <t>Rc 3/8" 減圧弁(ｴｱｰﾌｨﾙﾀｰ/ﾌﾞﾗｹｯﾄ付)</t>
  </si>
  <si>
    <t>EA153SL-38</t>
  </si>
  <si>
    <t>Rc  1"  減圧弁(ｴｱｰﾌｨﾙﾀｰ/ﾌﾞﾗｹｯﾄ付)</t>
  </si>
  <si>
    <t>1061</t>
  </si>
  <si>
    <t>EA153EC-12</t>
  </si>
  <si>
    <t>Rc 1/4" 足踏スイッチ(ﾛｯｸ付/3方向/常時閉)</t>
  </si>
  <si>
    <t>EA153EC-15</t>
  </si>
  <si>
    <t>RC 1/4" 足踏スイッチ(4方向)</t>
  </si>
  <si>
    <t>EA153EC-16</t>
  </si>
  <si>
    <t>Rc 1/4" 足踏スイッチ(ﾛｯｸ付/4方向)</t>
  </si>
  <si>
    <t>EA153EC-22</t>
  </si>
  <si>
    <t>RC 1/4" 足踏スイッチ(ﾛｯｸ･ｶﾊﾞｰ付/3方向)</t>
  </si>
  <si>
    <t>EA153SJ-31</t>
  </si>
  <si>
    <t>Rc1/4" 手動切替バルブ(4方向)</t>
  </si>
  <si>
    <t>1064</t>
  </si>
  <si>
    <t>EA125FH-8A</t>
  </si>
  <si>
    <t>6.0/8.0mmx 5m フッ素樹脂チューブ(PFA)</t>
  </si>
  <si>
    <t>1065</t>
  </si>
  <si>
    <t>EA425DV-1</t>
  </si>
  <si>
    <t>1/8"xG1/8" 雌ユニオン(ｽﾃﾝﾚｽ製)</t>
  </si>
  <si>
    <t>1076</t>
  </si>
  <si>
    <t>EA140EP-2</t>
  </si>
  <si>
    <t>R 1/4" 雄ねじカップリング(ｴｱｰﾎｰｽ用)</t>
  </si>
  <si>
    <t>EA140ER-2</t>
  </si>
  <si>
    <t>Rc 1/4" 雌ねじカップリング(ｴｱｰﾎｰｽ用)</t>
  </si>
  <si>
    <t>EA140GD-2</t>
  </si>
  <si>
    <t>R 1/4" 雄ねじプラグ(ｽﾁｰﾙ製)</t>
  </si>
  <si>
    <t>1101</t>
  </si>
  <si>
    <t>EA469FD-8A</t>
  </si>
  <si>
    <t>1"   溶接チーズ(ｽﾃﾝﾚｽ製)</t>
  </si>
  <si>
    <t>EA470CA-63</t>
  </si>
  <si>
    <t>RC 3/8 " グローブバルブ(青銅製)</t>
  </si>
  <si>
    <t>1103</t>
  </si>
  <si>
    <t>EA470DB-14</t>
  </si>
  <si>
    <t>Rc1･1/2" ゲートバルブ(ｽﾃﾝﾚｽ製)</t>
  </si>
  <si>
    <t>EA465AN-114</t>
  </si>
  <si>
    <t>1･1/2" Ｙ形ストレーナー(青銅製)</t>
  </si>
  <si>
    <t>EA466N-8</t>
  </si>
  <si>
    <t>G1/2"/ 8L 膨張タンク</t>
  </si>
  <si>
    <t>EA997KR-11</t>
  </si>
  <si>
    <t>178x813mm 熱溶着ﾌｪﾙﾄﾌｨﾙﾀｰﾊﾞｯｸﾞ(1μm)</t>
  </si>
  <si>
    <t>1115</t>
  </si>
  <si>
    <t>EA468L-110</t>
  </si>
  <si>
    <t>150W/10m 水道凍結防止帯(金属配管用)</t>
  </si>
  <si>
    <t>1117</t>
  </si>
  <si>
    <t>EA469EG-60</t>
  </si>
  <si>
    <t>1"x 600mm フレキシブルチューブ(ｽﾃﾝﾚｽ製)</t>
  </si>
  <si>
    <t>EA468B-1</t>
  </si>
  <si>
    <t>PJ 1/2" 横水栓</t>
  </si>
  <si>
    <t>1141</t>
  </si>
  <si>
    <t>EA468BC-6</t>
  </si>
  <si>
    <t>PJ 3/4" 胴長横水栓</t>
  </si>
  <si>
    <t>1143</t>
  </si>
  <si>
    <t>EA468CF-7</t>
  </si>
  <si>
    <t>[W26x20T] 洗濯機用ニップル</t>
  </si>
  <si>
    <t>EA468EA-4A</t>
  </si>
  <si>
    <t>φ385x152mm 丸型シンク(ｽﾃﾝﾚｽ製)</t>
  </si>
  <si>
    <t>1145</t>
  </si>
  <si>
    <t>EA468EF-36</t>
  </si>
  <si>
    <t>900x600x890mm 二槽シンク(SUS430)</t>
  </si>
  <si>
    <t>1151</t>
  </si>
  <si>
    <t>EA468DE-23</t>
  </si>
  <si>
    <t>65A [VP･VU管用]防虫目皿(山形)</t>
  </si>
  <si>
    <t>EA468DH-7</t>
  </si>
  <si>
    <t>150A (VU管用)目皿</t>
  </si>
  <si>
    <t>1152</t>
  </si>
  <si>
    <t>EA463A-27B</t>
  </si>
  <si>
    <t>16- 27mm ホースクランプ(1個)</t>
  </si>
  <si>
    <t>EA463A-45B</t>
  </si>
  <si>
    <t>30- 45mm ホースクランプ(1個)</t>
  </si>
  <si>
    <t>1154</t>
  </si>
  <si>
    <t>EA463CB-64</t>
  </si>
  <si>
    <t>40- 64mm [ｴｱｰｸﾗﾌﾄ]クランプ(410SS/10個)</t>
  </si>
  <si>
    <t>EA463CB-76</t>
  </si>
  <si>
    <t>52- 76mm [ｴｱｰｸﾗﾌﾄ]クランプ(410SS/10個)</t>
  </si>
  <si>
    <t>1157</t>
  </si>
  <si>
    <t>EA463EE-2A</t>
  </si>
  <si>
    <t>1/4" - 3/8"  バンドツール</t>
  </si>
  <si>
    <t>1158</t>
  </si>
  <si>
    <t>EA475FF-910</t>
  </si>
  <si>
    <t>910x8.9mm 結束バンド(10本)</t>
  </si>
  <si>
    <t>EA475B-140</t>
  </si>
  <si>
    <t>142x 2.5mm 結束バンド(耐候性/100本)</t>
  </si>
  <si>
    <t>EA475E-370</t>
  </si>
  <si>
    <t>368x 4.8mm 結束バンド(黄/100本)</t>
  </si>
  <si>
    <t>EA475AT-550</t>
  </si>
  <si>
    <t>564x12.7mm 結束バンド(耐候性/25本)</t>
  </si>
  <si>
    <t>EA475WN-6</t>
  </si>
  <si>
    <t>812.8mm ラバータイ(黒/2本)</t>
  </si>
  <si>
    <t>EA944MA-624</t>
  </si>
  <si>
    <t>210x16mm ケーブルストラップ(黄/20本)</t>
  </si>
  <si>
    <t>EA440CV-7</t>
  </si>
  <si>
    <t>1/2x20mm 給水座金(つば無)</t>
  </si>
  <si>
    <t>1176</t>
  </si>
  <si>
    <t>EA947C-7</t>
  </si>
  <si>
    <t>5-7 mm 丸型ケーブルクリップ(白/100個)</t>
  </si>
  <si>
    <t>EA940AJ-6</t>
  </si>
  <si>
    <t>125V/ 7A/ 5m ビニール平行線(白)</t>
  </si>
  <si>
    <t>EA940AK-12</t>
  </si>
  <si>
    <t>125V/ 7A/10m ﾋﾞﾆｰﾙｷｬﾌﾞﾀｲﾔ ケーブル(黒)</t>
  </si>
  <si>
    <t>EA940AL-5GA</t>
  </si>
  <si>
    <t>0.5m㎡x 50m 電子機器用ビニル電線[KV](緑)</t>
  </si>
  <si>
    <t>1181</t>
  </si>
  <si>
    <t>EA940AG-524</t>
  </si>
  <si>
    <t>8  m㎡x20m/2芯 ﾋﾞﾆｰﾙｷｬﾌﾞﾀｲﾔｹｰﾌﾞﾙ</t>
  </si>
  <si>
    <t>1185</t>
  </si>
  <si>
    <t>EA948HB-4B</t>
  </si>
  <si>
    <t>10-14mm/G1/2" ケーブルグランド</t>
  </si>
  <si>
    <t>EA948GC-1.0</t>
  </si>
  <si>
    <t>0.7-1.0mm/10m グロメット</t>
  </si>
  <si>
    <t>1200</t>
  </si>
  <si>
    <t>EA940CE-87</t>
  </si>
  <si>
    <t>100V/500W ﾗｲﾄｺﾝﾄﾛｰﾙ(白熱灯用･ﾛｰﾀﾘｰ式)</t>
  </si>
  <si>
    <t>1202</t>
  </si>
  <si>
    <t>EA940CE-182</t>
  </si>
  <si>
    <t>ＬＡＮ用モジュラージャック(ｶﾃｺﾞﾘｰ5E/2口)</t>
  </si>
  <si>
    <t>EA940CF-82</t>
  </si>
  <si>
    <t>USB給電用コンセント(USB TypeA/1ﾎﾟｰﾄ/黒)</t>
  </si>
  <si>
    <t>EA940CE-491</t>
  </si>
  <si>
    <t>[1個用] プレート(大型/樹脂製)</t>
  </si>
  <si>
    <t>EA940CE-494</t>
  </si>
  <si>
    <t>EA940CE-496</t>
  </si>
  <si>
    <t>[3個用] プレート(大型/樹脂製)</t>
  </si>
  <si>
    <t>EA940CE-672</t>
  </si>
  <si>
    <t>電話線プレート(角型･ｽﾃﾝﾚｽ製)</t>
  </si>
  <si>
    <t>1204</t>
  </si>
  <si>
    <t>EA940CE-763</t>
  </si>
  <si>
    <t>コンセントプレート(3口･ﾒﾀﾙ製)</t>
  </si>
  <si>
    <t>EA815HN-1WA</t>
  </si>
  <si>
    <t>AC125V/15Ax1.5m コンセント(埋め込み/白)</t>
  </si>
  <si>
    <t>1211</t>
  </si>
  <si>
    <t>EA940BA-4</t>
  </si>
  <si>
    <t>AC125V/15A 防雨型プラグ(太ｹｰﾌﾞﾙ用)</t>
  </si>
  <si>
    <t>EA944AE-132</t>
  </si>
  <si>
    <t>6.0x0.4mmx 50m ビニール絶縁チューブ(透明</t>
  </si>
  <si>
    <t>EA944BH-254</t>
  </si>
  <si>
    <t>16mm x 3m 熱収縮チューブ(黄)</t>
  </si>
  <si>
    <t>EA940DA-152</t>
  </si>
  <si>
    <t>125V/6A 押しボタンｽｲｯﾁ(単極双投/小型)</t>
  </si>
  <si>
    <t>1246</t>
  </si>
  <si>
    <t>EA983FS-169</t>
  </si>
  <si>
    <t>AC100～200V ＬＥＤ回転灯(緑)</t>
  </si>
  <si>
    <t>1248</t>
  </si>
  <si>
    <t>EA940P-7</t>
  </si>
  <si>
    <t>ＵＨＦアンテナ(ﾃﾞｼﾞﾀﾙ放送対応)</t>
  </si>
  <si>
    <t>EA948BL-44</t>
  </si>
  <si>
    <t>149x47mm 取手(ﾎﾟﾘｱﾐﾄﾞ/ﾌﾞﾗｯｸ)</t>
  </si>
  <si>
    <t>EA948BT-24</t>
  </si>
  <si>
    <t>M4x0.7mm/ 90mm プルハンドル(ｱﾙﾐ製/白)</t>
  </si>
  <si>
    <t>EA948AE-6</t>
  </si>
  <si>
    <t>M6 雌ねじノブ</t>
  </si>
  <si>
    <t>EA948AD-116</t>
  </si>
  <si>
    <t>M8x16mm 雄ねじノブ</t>
  </si>
  <si>
    <t>EA948AD-129</t>
  </si>
  <si>
    <t>M10x20mm 雄ねじノブ</t>
  </si>
  <si>
    <t>EA948AD-407</t>
  </si>
  <si>
    <t>M6x30mm 雄ねじノブ</t>
  </si>
  <si>
    <t>EA948AM-55</t>
  </si>
  <si>
    <t>M8x32mm 雌ねじボール(ｽﾃﾝﾚｽ製)</t>
  </si>
  <si>
    <t>EA948AM-56</t>
  </si>
  <si>
    <t>M10x32mm 雌ねじボール(ｽﾃﾝﾚｽ製)</t>
  </si>
  <si>
    <t>EA948AM-58</t>
  </si>
  <si>
    <t>M12x40mm 雌ねじボール(ｽﾃﾝﾚｽ製)</t>
  </si>
  <si>
    <t>EA948BC-33</t>
  </si>
  <si>
    <t>M8x40/40mm 雄ねじノブ(ｽﾃﾝﾚｽ製)</t>
  </si>
  <si>
    <t>EA948BC-34</t>
  </si>
  <si>
    <t>M10x20/50mm 雄ねじノブ(ｽﾃﾝﾚｽ製)</t>
  </si>
  <si>
    <t>EA948BC-13A</t>
  </si>
  <si>
    <t>M10x25mm/φ36mm ﾛｰﾚｯﾄﾉﾌﾞ(雄ねじ/ｽﾃﾝﾚｽ製)</t>
  </si>
  <si>
    <t>1257</t>
  </si>
  <si>
    <t>EA948AK-11</t>
  </si>
  <si>
    <t>M6x13mm 回転ハンドル</t>
  </si>
  <si>
    <t>EA948CC-212</t>
  </si>
  <si>
    <t>Ｚ 雌ねじミニクランプレバー(ﾌﾞﾗｯｸ)</t>
  </si>
  <si>
    <t>EA948CA-31</t>
  </si>
  <si>
    <t>M10x20mm クランプレバー(ﾌﾞﾗｯｸ)</t>
  </si>
  <si>
    <t>EA949RH-15</t>
  </si>
  <si>
    <t>8.0x152mm Ｌ型差し込みピン</t>
  </si>
  <si>
    <t>1273</t>
  </si>
  <si>
    <t>EA967CN-114</t>
  </si>
  <si>
    <t>CN114 省エネタイプ Ｖベルト</t>
  </si>
  <si>
    <t>1277</t>
  </si>
  <si>
    <t>EA966B-33</t>
  </si>
  <si>
    <t>UP003 /17mm ピロー型ユニット</t>
  </si>
  <si>
    <t>1278</t>
  </si>
  <si>
    <t>EA966-55</t>
  </si>
  <si>
    <t>[6305] ベアリング</t>
  </si>
  <si>
    <t>EA966A-0</t>
  </si>
  <si>
    <t>[6000ZZE] 密封型ベアリング</t>
  </si>
  <si>
    <t>1279</t>
  </si>
  <si>
    <t>EA966AA-4</t>
  </si>
  <si>
    <t>[6004 2NSE] ゴムシール型ベアリング</t>
  </si>
  <si>
    <t>1282</t>
  </si>
  <si>
    <t>EA966AM-76</t>
  </si>
  <si>
    <t>[627ZZ] 密封型ミニチュアベアリング</t>
  </si>
  <si>
    <t>EA527B-5</t>
  </si>
  <si>
    <t>3.2- 4.8mm/3.2mm ﾌﾞﾗｲﾝﾄﾞﾘﾍﾞｯﾄ(25本)</t>
  </si>
  <si>
    <t>EA527B-14</t>
  </si>
  <si>
    <t>8.0- 9.5mm/4.0mm ﾌﾞﾗｲﾝﾄﾞﾘﾍﾞｯﾄ(25本)</t>
  </si>
  <si>
    <t>EA527B-17</t>
  </si>
  <si>
    <t>3.2- 4.8mm/4.8mm ﾌﾞﾗｲﾝﾄﾞﾘﾍﾞｯﾄ(25本)</t>
  </si>
  <si>
    <t>EA527B-18</t>
  </si>
  <si>
    <t>4.8- 6.4mm/4.8mm ﾌﾞﾗｲﾝﾄﾞﾘﾍﾞｯﾄ(25本)</t>
  </si>
  <si>
    <t>1289</t>
  </si>
  <si>
    <t>EA947BM-24</t>
  </si>
  <si>
    <t>9.0-13mm 石膏ボードアンカー(ﾋﾞｽ付/10個)</t>
  </si>
  <si>
    <t>EA949LL-615</t>
  </si>
  <si>
    <t>M6x15 ゆるみ止六角ﾎﾞﾙﾄ ﾅｯﾄ付(ｽﾃﾝﾚｽ/4本)</t>
  </si>
  <si>
    <t>1304</t>
  </si>
  <si>
    <t>EA949HK-4</t>
  </si>
  <si>
    <t>M6x125mm パイプナット(ｽﾃﾝﾚｽ製)</t>
  </si>
  <si>
    <t>1333</t>
  </si>
  <si>
    <t>EA949AL-1</t>
  </si>
  <si>
    <t>2-3.5mm タッピングビスセット(ｽﾃﾝﾚｽ製)</t>
  </si>
  <si>
    <t>1339</t>
  </si>
  <si>
    <t>EA945TC-30A</t>
  </si>
  <si>
    <t>1.7-2.75mm 釘セット(20ｻｲｽﾞ/ｽﾃﾝﾚｽ製)</t>
  </si>
  <si>
    <t>1344</t>
  </si>
  <si>
    <t>EA949WM-353</t>
  </si>
  <si>
    <t>3.2x30mm 割ピン(ｽﾃﾝﾚｽ製/100本)</t>
  </si>
  <si>
    <t>1345</t>
  </si>
  <si>
    <t>EA949YM-100</t>
  </si>
  <si>
    <t>2- 6mm テーパーピンセット</t>
  </si>
  <si>
    <t>1351</t>
  </si>
  <si>
    <t>EA423R-14A</t>
  </si>
  <si>
    <t>P-14 オーリング (ﾌｯ素ｺﾞﾑ/2個)</t>
  </si>
  <si>
    <t>1362</t>
  </si>
  <si>
    <t>EA781GA-53</t>
  </si>
  <si>
    <t>φ 13x1.5mm ﾏｸﾞﾈｯﾄﾃﾞｨｽｸ(粘着付/N 各8個)</t>
  </si>
  <si>
    <t>EA781BR-24</t>
  </si>
  <si>
    <t>160x1mm/ 1m 強力マグネット(強粘着付)</t>
  </si>
  <si>
    <t>EA781BR-34</t>
  </si>
  <si>
    <t>160x1mm/10m 強力マグネット(強粘着付)</t>
  </si>
  <si>
    <t>EA781BX-22</t>
  </si>
  <si>
    <t>100x0.8mm/ 1m ゴムマグネット</t>
  </si>
  <si>
    <t>1365</t>
  </si>
  <si>
    <t>EA781BS-49</t>
  </si>
  <si>
    <t>100x300x0.8mm ｶﾗｰﾏｸﾞﾈｯﾄｼｰﾄ(黄)</t>
  </si>
  <si>
    <t>EA781ET-72A</t>
  </si>
  <si>
    <t>φ32mm/30kg ﾏｸﾞﾈｯﾄﾌｯｸ(ｽｲﾍﾞﾙ式/赤)</t>
  </si>
  <si>
    <t>EA781GB-10</t>
  </si>
  <si>
    <t>41mm/φ28mm カラビナフック(ﾏｸﾞﾈｯﾄ付)</t>
  </si>
  <si>
    <t>1370</t>
  </si>
  <si>
    <t>EA951KB-46</t>
  </si>
  <si>
    <t>25-40mm ﾚﾊﾞｰﾊﾝﾄﾞﾙ(間仕切錠/1ｽﾋﾟﾝﾄﾞﾙ型)</t>
  </si>
  <si>
    <t>1374</t>
  </si>
  <si>
    <t>EA951LA-26</t>
  </si>
  <si>
    <t>ドアガード(外開き用)</t>
  </si>
  <si>
    <t>1375</t>
  </si>
  <si>
    <t>EA951LG-124</t>
  </si>
  <si>
    <t>φ45x45mm 戸当り(白/4個)</t>
  </si>
  <si>
    <t>1376</t>
  </si>
  <si>
    <t>EA951LG-71</t>
  </si>
  <si>
    <t>45mm  戸当り(ｺﾝｸﾘｰﾄ床用)</t>
  </si>
  <si>
    <t>EA951BB-87</t>
  </si>
  <si>
    <t>450mm 丸棒貫抜(鋼板製/溶接用)</t>
  </si>
  <si>
    <t>1379</t>
  </si>
  <si>
    <t>EA951BG-8</t>
  </si>
  <si>
    <t>75mm 掛金(ｽﾃﾝﾚｽ製/ﾌﾞﾛﾝｽﾞ)</t>
  </si>
  <si>
    <t>EA951BG-154</t>
  </si>
  <si>
    <t>85mm ストップ掛金(ｽﾃﾝﾚｽ製)</t>
  </si>
  <si>
    <t>1384</t>
  </si>
  <si>
    <t>EA951EF-440</t>
  </si>
  <si>
    <t>40x40x15mm 特厚金折(ｽﾃﾝﾚｽ製/2個)</t>
  </si>
  <si>
    <t>EA951LE-32</t>
  </si>
  <si>
    <t>270mm ステー(ｽﾃﾝﾚｽ製)</t>
  </si>
  <si>
    <t>1387</t>
  </si>
  <si>
    <t>EA951EB-15</t>
  </si>
  <si>
    <t>200x150mm 棚受(ｽﾃﾝﾚｽ製/2個)</t>
  </si>
  <si>
    <t>1391</t>
  </si>
  <si>
    <t>EA951CX-12</t>
  </si>
  <si>
    <t>51x 49mm 丁番(ｽﾃﾝﾚｽ製)</t>
  </si>
  <si>
    <t>1400</t>
  </si>
  <si>
    <t>EA440DZ-36</t>
  </si>
  <si>
    <t>15x100x2000mm ﾌﾞﾗｹｯﾄ用ﾍﾞｰｽ材(ﾗｲﾄｵｰｸ)</t>
  </si>
  <si>
    <t>1401</t>
  </si>
  <si>
    <t>EA638MC-1</t>
  </si>
  <si>
    <t>25mm 打込み丸カン(ｽﾃﾝﾚｽ製)</t>
  </si>
  <si>
    <t>1403</t>
  </si>
  <si>
    <t>EA951DG-24</t>
  </si>
  <si>
    <t>90x19mm 回転ロングフック(亜鉛ﾀﾞｲｶｽﾄ)</t>
  </si>
  <si>
    <t>EA951DD-32</t>
  </si>
  <si>
    <t>15 x37mm フック(ｽﾃﾝﾚｽ製)</t>
  </si>
  <si>
    <t>EA638DS-42</t>
  </si>
  <si>
    <t>16mm  パイプＳカン(鉄ﾕﾆｸﾛ/5個)</t>
  </si>
  <si>
    <t>1406</t>
  </si>
  <si>
    <t>EA638DW-33</t>
  </si>
  <si>
    <t>900x6mm Ｓ型ロングフック(鉄ﾕﾆｸﾛﾒｯｷ)</t>
  </si>
  <si>
    <t>EA638DW-94</t>
  </si>
  <si>
    <t>400x6.0mm Ｓ型ロングフック(ｽﾃﾝﾚｽ製)</t>
  </si>
  <si>
    <t>EA638EH-3</t>
  </si>
  <si>
    <t>49.5x4.8mm Ｓフック(ｽﾃﾝﾚｽ製/5個)</t>
  </si>
  <si>
    <t>1407</t>
  </si>
  <si>
    <t>EA951DN-11</t>
  </si>
  <si>
    <t>M6x52mm ねじ付フック(ｽﾃﾝﾚｽ製)</t>
  </si>
  <si>
    <t>EA951FY-7</t>
  </si>
  <si>
    <t>145x 56x 13mm ツールフック</t>
  </si>
  <si>
    <t>EA638BT-75</t>
  </si>
  <si>
    <t>φ90x17.0mm 埋込みﾘﾝｸﾞﾌｯｸ(丸形/ｽﾃﾝﾚｽ製)</t>
  </si>
  <si>
    <t>EA638GC-28</t>
  </si>
  <si>
    <t>23.6mm パッドアイ(ｽﾃﾝﾚｽ製)</t>
  </si>
  <si>
    <t>EA628SD-125</t>
  </si>
  <si>
    <t>2.5mm ワイヤーロープスリーブ(ｱﾙﾐ/10個)</t>
  </si>
  <si>
    <t>1420</t>
  </si>
  <si>
    <t>EA951AM-226A</t>
  </si>
  <si>
    <t>2.6mmx600m/#12 鉄線(25kg)</t>
  </si>
  <si>
    <t>EA951AM-240A</t>
  </si>
  <si>
    <t>4.0mmx250m/#8  鉄線(25kg)</t>
  </si>
  <si>
    <t>EA951AR-140</t>
  </si>
  <si>
    <t>4.0mmx100m/#8  ステンレス線(10kg)</t>
  </si>
  <si>
    <t>1421</t>
  </si>
  <si>
    <t>EA980SB-32</t>
  </si>
  <si>
    <t>4.0mmx 5m リンクチェーン(ｽﾃﾝﾚｽ製)</t>
  </si>
  <si>
    <t>EA980SB-33</t>
  </si>
  <si>
    <t>4.0mmx10m リンクチェーン(ｽﾃﾝﾚｽ製)</t>
  </si>
  <si>
    <t>EA638DD-12</t>
  </si>
  <si>
    <t>6.0mm 割ピン式シャックル(ｽﾃﾝﾚｽ製)</t>
  </si>
  <si>
    <t>EA980SK-1</t>
  </si>
  <si>
    <t>2.0mmx15m チェーン(ｶﾗｰｽﾁｰﾙ製/茶)</t>
  </si>
  <si>
    <t>EA980TD-62</t>
  </si>
  <si>
    <t>2.6mmx10m ビクターチェーン(ｽﾁｰﾙ/ﾕﾆｸﾛﾒｯｷ)</t>
  </si>
  <si>
    <t>EA980TW-2</t>
  </si>
  <si>
    <t>2.6mmx2.0m マンテルチェーン(両端ﾌｯｸ付)</t>
  </si>
  <si>
    <t>EA638JP-181</t>
  </si>
  <si>
    <t>50mm アイスナップ(ｽﾃﾝﾚｽ製)</t>
  </si>
  <si>
    <t>1427</t>
  </si>
  <si>
    <t>EA638FR-1</t>
  </si>
  <si>
    <t>53mm アイスナップ(ｽﾃﾝﾚｽ製)</t>
  </si>
  <si>
    <t>EA638H-2</t>
  </si>
  <si>
    <t>25x8.5x 3.0mm クイックリング(ｽﾁｰﾙ/Zinc)</t>
  </si>
  <si>
    <t>EA638HD-9</t>
  </si>
  <si>
    <t>77x19.0x 9.0mm クイックリング(ｽﾁｰﾙ/Zinc)</t>
  </si>
  <si>
    <t>EA638HE-3</t>
  </si>
  <si>
    <t>39.0x10.0x 3.5mm クイックリング(ｽﾃﾝﾚｽ製)</t>
  </si>
  <si>
    <t>1431</t>
  </si>
  <si>
    <t>EA638JN-2</t>
  </si>
  <si>
    <t>120mm スナップフック(ｽﾃﾝﾚｽ製)</t>
  </si>
  <si>
    <t>EA638JN-44</t>
  </si>
  <si>
    <t>114.3x12.7mm ハーネスクリップ(ｽﾃﾝﾚｽ製)</t>
  </si>
  <si>
    <t>EA638AD-323A</t>
  </si>
  <si>
    <t>90x41mm Ｓｶﾝｽﾅｯﾌﾟﾌｯｸ(ｱﾙﾐ製/ｵﾘｰﾌﾞ)</t>
  </si>
  <si>
    <t>EA970A-123</t>
  </si>
  <si>
    <t>57x47mm/3.64m(３号) トラックレール(ｽﾁｰﾙ)</t>
  </si>
  <si>
    <t>1433</t>
  </si>
  <si>
    <t>EA970BB-3</t>
  </si>
  <si>
    <t>３号レール用トロリー単車(ﾍﾞｱﾘﾝｸﾞ入)</t>
  </si>
  <si>
    <t>EA970CA-13</t>
  </si>
  <si>
    <t>100x32x 9mm/３号ﾚｰﾙ用 吊り車連結プレート</t>
  </si>
  <si>
    <t>EA970CB-3</t>
  </si>
  <si>
    <t>３号トラックレール用ストッパー</t>
  </si>
  <si>
    <t>EA911CA-61</t>
  </si>
  <si>
    <t>880x1120mm 特選天津すだれ</t>
  </si>
  <si>
    <t>1440</t>
  </si>
  <si>
    <t>EA997LE-69</t>
  </si>
  <si>
    <t>600角用ﾌﾛｱﾊｯﾁ(張物用/ﾎﾞﾙﾄ固定式)</t>
  </si>
  <si>
    <t>1441</t>
  </si>
  <si>
    <t>EA948TF-81</t>
  </si>
  <si>
    <t>M12 キャスター取付用金具( 50kgﾀｲﾌﾟ/L型)</t>
  </si>
  <si>
    <t>1442</t>
  </si>
  <si>
    <t>EA983FS-50</t>
  </si>
  <si>
    <t>10-50mm 回転灯用クランプ</t>
  </si>
  <si>
    <t>1449</t>
  </si>
  <si>
    <t>EA303YF-5</t>
  </si>
  <si>
    <t>1300℃ 強火力バーナー(ｶｾｯﾄｶﾞｽ式)</t>
  </si>
  <si>
    <t>EA330G-2</t>
  </si>
  <si>
    <t>1200℃ プロパンバーナー</t>
  </si>
  <si>
    <t>1450</t>
  </si>
  <si>
    <t>EA125HA-8A</t>
  </si>
  <si>
    <t>8/13.5mmx 5m プレッシャーホース(PVC)</t>
  </si>
  <si>
    <t>EA125HA-8B</t>
  </si>
  <si>
    <t>8/13.5mmx10m プレッシャーホース(PVC)</t>
  </si>
  <si>
    <t>1451</t>
  </si>
  <si>
    <t>EA124DJ-4</t>
  </si>
  <si>
    <t>4/ 6mm x 5m 食品用ホース(軟性ﾀｲﾌﾟ)</t>
  </si>
  <si>
    <t>EA124DJ-25A</t>
  </si>
  <si>
    <t>15/22.0mm x10m 食品用ホース(糸入り)</t>
  </si>
  <si>
    <t>1453</t>
  </si>
  <si>
    <t>EA125DR-5D</t>
  </si>
  <si>
    <t>5.0/8.0mmx20m ｿﾌﾄｳﾚﾀﾝﾁｭｰﾌﾞ(耐摩耗/ﾎﾜｲﾄ)</t>
  </si>
  <si>
    <t>EA441EA-11</t>
  </si>
  <si>
    <t>φ23.8x250mm 硬質ＰＶＣ丸棒(赤)</t>
  </si>
  <si>
    <t>1457</t>
  </si>
  <si>
    <t>EA440DH-41</t>
  </si>
  <si>
    <t>φ 40x 50mm アクリルパイプ(透明)</t>
  </si>
  <si>
    <t>1458</t>
  </si>
  <si>
    <t>EA983FN-90G</t>
  </si>
  <si>
    <t>90x90x60mm 角型保護キャップ(ｸﾞﾚｰ/2個)</t>
  </si>
  <si>
    <t>1459</t>
  </si>
  <si>
    <t>EA440HA-153</t>
  </si>
  <si>
    <t>910x 910x3.0mm ﾊﾟﾝﾁﾝｸﾞｱﾙﾐ複合板(ﾎﾜｲﾄ)</t>
  </si>
  <si>
    <t>1460</t>
  </si>
  <si>
    <t>EA440DY-52</t>
  </si>
  <si>
    <t>980x565x0.75mm ＰＰ板(黄/10枚)</t>
  </si>
  <si>
    <t>1461</t>
  </si>
  <si>
    <t>EA440DZ-13A</t>
  </si>
  <si>
    <t>300x 600x18mm 棚板(ﾊﾟｲﾝ集成材)</t>
  </si>
  <si>
    <t>EA440DZ-32A</t>
  </si>
  <si>
    <t>100x 900x18mm 棚板(ﾊﾟｲﾝ集成材)</t>
  </si>
  <si>
    <t>EA440DY-102</t>
  </si>
  <si>
    <t>200x300x2.0mm 低発泡塩ビ板(白/5枚)</t>
  </si>
  <si>
    <t>EA440DY-201</t>
  </si>
  <si>
    <t>300x300x0.5mm 硬質塩ビ板(ｸﾘｱ/10枚)</t>
  </si>
  <si>
    <t>1465</t>
  </si>
  <si>
    <t>EA997XH-135</t>
  </si>
  <si>
    <t>500x1000x3mm [粘着付]ゴム板(NBR)</t>
  </si>
  <si>
    <t>EA440DY-301</t>
  </si>
  <si>
    <t>1150x1150x 50mm 発泡ポリプロピレン板</t>
  </si>
  <si>
    <t>EA997XD-103Y</t>
  </si>
  <si>
    <t>200x200x 5mm 発泡ポリエチレン(黄/5枚)</t>
  </si>
  <si>
    <t>EA997XL-210</t>
  </si>
  <si>
    <t>1000x 500x10mm ゴムスポンジ(CR)</t>
  </si>
  <si>
    <t>1474</t>
  </si>
  <si>
    <t>EA911AK-511</t>
  </si>
  <si>
    <t>1.1x10m/ 1.0mm 綿帆布(8号/ｷﾅﾘ)</t>
  </si>
  <si>
    <t>EA911AK-523</t>
  </si>
  <si>
    <t>1.1x 5m/0.55mm 綿帆布(11号/ｶｰｷ)</t>
  </si>
  <si>
    <t>EA911AK-532</t>
  </si>
  <si>
    <t>1.1x10m/0.55mm 綿帆布(11号/ｵﾌ白)</t>
  </si>
  <si>
    <t>EA911AM-5D</t>
  </si>
  <si>
    <t>0.92x 5m/0.9mm ポリエステル帆布(OD色)</t>
  </si>
  <si>
    <t>EA952CA-155A</t>
  </si>
  <si>
    <t>1520x655mm ポリカ波板(ﾌﾞﾛﾝｽﾞ/10枚)</t>
  </si>
  <si>
    <t>EA952CD-42</t>
  </si>
  <si>
    <t>21mm 波板用フック(ｸﾘｱ/20個)</t>
  </si>
  <si>
    <t>EA952AD-131</t>
  </si>
  <si>
    <t>0.6x5.0m ここまでネット</t>
  </si>
  <si>
    <t>1490</t>
  </si>
  <si>
    <t>EA944MG-37</t>
  </si>
  <si>
    <t>20mmx50m 両面テープ(0.17mm/ﾌﾟﾗｽﾁｯｸ用)</t>
  </si>
  <si>
    <t>1491</t>
  </si>
  <si>
    <t>EA943VK-3A</t>
  </si>
  <si>
    <t>15mmx3m 両面テープ(強力/防水用)</t>
  </si>
  <si>
    <t>EA944ME-15</t>
  </si>
  <si>
    <t>15mmx20m 両面テープ(壁紙･ﾎﾟｽﾀｰ用)</t>
  </si>
  <si>
    <t>1492</t>
  </si>
  <si>
    <t>EA944MG-64</t>
  </si>
  <si>
    <t>50mmx10m 両面テープ(1.2mm/ﾓｰﾙ用)</t>
  </si>
  <si>
    <t>1499</t>
  </si>
  <si>
    <t>EA944KD-64A</t>
  </si>
  <si>
    <t>50x10mmx2m 隙間埋めテープ(ﾎﾜｲﾄ)</t>
  </si>
  <si>
    <t>EA944KD-65A</t>
  </si>
  <si>
    <t>100x10mmx2m 隙間埋めテープ(ﾎﾜｲﾄ)</t>
  </si>
  <si>
    <t>1501</t>
  </si>
  <si>
    <t>EA944RD-2</t>
  </si>
  <si>
    <t>13mmx0.13mmx10m 粘着テープ(ﾌｯ素樹脂)</t>
  </si>
  <si>
    <t>EA944VB-4</t>
  </si>
  <si>
    <t>300x0.17mm/10m フッ素含浸ガラスクロス</t>
  </si>
  <si>
    <t>1502</t>
  </si>
  <si>
    <t>EA944SK-2B</t>
  </si>
  <si>
    <t>75x900mmﾌﾛｰﾘﾝｸﾞ補修ﾃｰﾌﾟ(ﾐﾃﾞｨｱﾑﾌﾞﾗｳﾝ/10巻</t>
  </si>
  <si>
    <t>1504</t>
  </si>
  <si>
    <t>EA944WA-2</t>
  </si>
  <si>
    <t>1200mmx150m 防錆フィルム(鉄用)</t>
  </si>
  <si>
    <t>EA351FB-50</t>
  </si>
  <si>
    <t>50A/2.0mm 内フランジパッキン(JIS 5K)</t>
  </si>
  <si>
    <t>EA351GH-65</t>
  </si>
  <si>
    <t>65A/2.0mm全面ﾌﾗﾝｼﾞﾊﾟｯｷﾝ(耐熱･耐蒸気/5K)</t>
  </si>
  <si>
    <t>EA351HB-25</t>
  </si>
  <si>
    <t>25A/2.0mm 全面ﾌﾗﾝｼﾞﾊﾟｯｷﾝ(耐薬品/5K)</t>
  </si>
  <si>
    <t>EA351HB-150</t>
  </si>
  <si>
    <t>150A/2.0mm 全面ﾌﾗﾝｼﾞﾊﾟｯｷﾝ(耐薬品/5K)</t>
  </si>
  <si>
    <t>EA936A-6A</t>
  </si>
  <si>
    <t>2.0g 瞬間接着剤(ﾊｲｽﾋﾟｰﾄﾞ)</t>
  </si>
  <si>
    <t>1532</t>
  </si>
  <si>
    <t>EA934JA-11</t>
  </si>
  <si>
    <t>5g 補修ねんどパテ(白/3個入)</t>
  </si>
  <si>
    <t>EA934KF-12</t>
  </si>
  <si>
    <t>250g 紫外線硬化型接着剤(高粘度)</t>
  </si>
  <si>
    <t>1541</t>
  </si>
  <si>
    <t>EA942EF-14</t>
  </si>
  <si>
    <t>8.0㎏ 水性･外壁サイディング塗料(ｱｲﾎﾞﾘｰ)</t>
  </si>
  <si>
    <t>EA942EV-43</t>
  </si>
  <si>
    <t>300ml 蛍光ﾏｰｷﾝｸﾞｽﾌﾟﾚｰ(雪面用/ｸﾞﾘｰﾝ)</t>
  </si>
  <si>
    <t>EA765MC-64</t>
  </si>
  <si>
    <t>[現場用] 油性色鉛筆(黄/2本)</t>
  </si>
  <si>
    <t>1552</t>
  </si>
  <si>
    <t>EA921S-1</t>
  </si>
  <si>
    <t>420ml スーパータッピングスプレー</t>
  </si>
  <si>
    <t>EA920DC-17</t>
  </si>
  <si>
    <t>420ml 潤滑防錆グリース</t>
  </si>
  <si>
    <t>1556</t>
  </si>
  <si>
    <t>EA921A-300A</t>
  </si>
  <si>
    <t>300ml 接点クリーナー</t>
  </si>
  <si>
    <t>1561</t>
  </si>
  <si>
    <t>EA925AC-23</t>
  </si>
  <si>
    <t>100x 50x180mm 小物ケース</t>
  </si>
  <si>
    <t>1564</t>
  </si>
  <si>
    <t>EA925TD-4A</t>
  </si>
  <si>
    <t>195x141x230mm 着脱式腰袋</t>
  </si>
  <si>
    <t>1565</t>
  </si>
  <si>
    <t>EA925MG-6</t>
  </si>
  <si>
    <t>508x305x355mm ツールバッグ(600ﾃﾞﾆｰﾙ)</t>
  </si>
  <si>
    <t>EA925MG-57</t>
  </si>
  <si>
    <t>406x178x216mm ツールバッグ(600ﾃﾞﾆｰﾙ)</t>
  </si>
  <si>
    <t>EA925MG-66</t>
  </si>
  <si>
    <t>432x152x267mm ツールバッグ(茶色)</t>
  </si>
  <si>
    <t>EA925MG-67</t>
  </si>
  <si>
    <t>432x152x267mm ツールバッグ(白)</t>
  </si>
  <si>
    <t>1569</t>
  </si>
  <si>
    <t>EA924BF-1</t>
  </si>
  <si>
    <t>50mm 作業用ベルト(超軽量)</t>
  </si>
  <si>
    <t>1572</t>
  </si>
  <si>
    <t>EA925ZA-2</t>
  </si>
  <si>
    <t>φ305x406mm 電工バケツ(厚手ｷｬﾝﾊﾞｽ地)</t>
  </si>
  <si>
    <t>1573</t>
  </si>
  <si>
    <t>EA925M-73</t>
  </si>
  <si>
    <t>φ600x900mm/250L 自立型ﾊﾞｹﾂ(ﾌﾀ無/迷彩)</t>
  </si>
  <si>
    <t>1574</t>
  </si>
  <si>
    <t>EA927GA-12</t>
  </si>
  <si>
    <t>φ300x550mm/45L ﾛｰﾙﾄｯﾌﾟﾘｭｯｸ(防水/ﾌﾞﾗｯｸ)</t>
  </si>
  <si>
    <t>1575</t>
  </si>
  <si>
    <t>EA925KN-12</t>
  </si>
  <si>
    <t>440x200x340mm ツールバッグ</t>
  </si>
  <si>
    <t>1577</t>
  </si>
  <si>
    <t>EA925GM-6</t>
  </si>
  <si>
    <t>400x180x280mm トートバッグ</t>
  </si>
  <si>
    <t>1580</t>
  </si>
  <si>
    <t>EA927GA-101</t>
  </si>
  <si>
    <t>800x490x350mm/138L 特大ﾊﾞｯｸﾞ(防水/ｵﾚﾝｼﾞ)</t>
  </si>
  <si>
    <t>1582</t>
  </si>
  <si>
    <t>EA927CE-13</t>
  </si>
  <si>
    <t>229x254x457mm スリングバッグ(黒)</t>
  </si>
  <si>
    <t>EA927CE-49</t>
  </si>
  <si>
    <t>241x317x457mm バックパック(ﾁｬｺｰﾙｸﾞﾚｰ)</t>
  </si>
  <si>
    <t>EA925DB-11</t>
  </si>
  <si>
    <t>50x63x139mm ツールポーチ(ﾌﾞﾗｯｸ)</t>
  </si>
  <si>
    <t>EA925DB-12</t>
  </si>
  <si>
    <t>50x63x139mm ツールポーチ(ｺﾖｰﾃ)</t>
  </si>
  <si>
    <t>EA925DB-39</t>
  </si>
  <si>
    <t>203x165x 25mm 小物ポーチ(OD色)</t>
  </si>
  <si>
    <t>EA927CE-40</t>
  </si>
  <si>
    <t>254x177x482mm バックパック(ｺﾖｰﾃ)</t>
  </si>
  <si>
    <t>1585</t>
  </si>
  <si>
    <t>EA927AG-97</t>
  </si>
  <si>
    <t>210x130x 80mm ウエストポーチ(ﾜｲﾝ)</t>
  </si>
  <si>
    <t>EA927CK-6</t>
  </si>
  <si>
    <t>419x101x165mm ウエストポーチ(ﾈｲﾋﾞｰ)</t>
  </si>
  <si>
    <t>EA509C-50</t>
  </si>
  <si>
    <t>95x200x25mm 小物ケース(ﾌﾞﾗｯｸ)</t>
  </si>
  <si>
    <t>1588</t>
  </si>
  <si>
    <t>EA509AG-14</t>
  </si>
  <si>
    <t>340x80x70mm ツールケース</t>
  </si>
  <si>
    <t>EA508SC-94</t>
  </si>
  <si>
    <t>φ100x120mm 容器(ｽﾁｰﾙ製)</t>
  </si>
  <si>
    <t>EA508TM-103</t>
  </si>
  <si>
    <t>200cc 塗料缶(ｽﾁｰﾙ製)</t>
  </si>
  <si>
    <t>1600</t>
  </si>
  <si>
    <t>EA661AC-109</t>
  </si>
  <si>
    <t>290x247x342mm ハンディーボックス(4段)</t>
  </si>
  <si>
    <t>1606</t>
  </si>
  <si>
    <t>EA505MD-11</t>
  </si>
  <si>
    <t>540x340x350mm 工具箱(中皿付)</t>
  </si>
  <si>
    <t>1607</t>
  </si>
  <si>
    <t>EA505TB-1A</t>
  </si>
  <si>
    <t>125kg ハンディーカート(折畳式)</t>
  </si>
  <si>
    <t>EA505TB-2</t>
  </si>
  <si>
    <t>442x357x321mm ツールボックス</t>
  </si>
  <si>
    <t>1610</t>
  </si>
  <si>
    <t>EA504A-410</t>
  </si>
  <si>
    <t>410x200x180mm 工具箱(ｽﾁｰﾙ製)</t>
  </si>
  <si>
    <t>1611</t>
  </si>
  <si>
    <t>EA502G</t>
  </si>
  <si>
    <t>370x133x340mm アルミケース</t>
  </si>
  <si>
    <t>EA502TL-3</t>
  </si>
  <si>
    <t>570x368x398mm ｱﾙﾐｹｰｽ(積み重ね可能型)</t>
  </si>
  <si>
    <t>1612</t>
  </si>
  <si>
    <t>EA657MC-40B</t>
  </si>
  <si>
    <t>194x119x 48mm/内寸 防水ケース(黒)</t>
  </si>
  <si>
    <t>EA657AR-557NF</t>
  </si>
  <si>
    <t>440x330x248mm/内寸 防水ｹｰｽ(軽量/ｳﾚﾀﾝ無)</t>
  </si>
  <si>
    <t>1616</t>
  </si>
  <si>
    <t>EA506AY-1</t>
  </si>
  <si>
    <t>640x320x300mm/45L 折畳コンテナ(黒/ﾌﾀ付)</t>
  </si>
  <si>
    <t>EA505-11</t>
  </si>
  <si>
    <t>455x361x351mm 収納ケース(ﾀﾞｰｸｸﾞﾚｰ)</t>
  </si>
  <si>
    <t>EA960AB-18</t>
  </si>
  <si>
    <t>1150x350x280mm 車載ケース(樹脂製)</t>
  </si>
  <si>
    <t>1618</t>
  </si>
  <si>
    <t>EA506MC-12</t>
  </si>
  <si>
    <t>760x360x400mm/63L 収納ケース</t>
  </si>
  <si>
    <t>EA506MC-12BA</t>
  </si>
  <si>
    <t>760x360x400mm/63L 収納ケース(4個）</t>
  </si>
  <si>
    <t>EA506AB-41A</t>
  </si>
  <si>
    <t>525x380x180mm 収納ｹｰｽ(ﾊﾞｯｸﾙ付/ﾌﾞﾙｰｸﾞﾘｰﾝ)</t>
  </si>
  <si>
    <t>EA506AB-42</t>
  </si>
  <si>
    <t>525x380x180mm 収納ｹｰｽ(ﾊﾞｯｸﾙ付/ｸﾘｱ)</t>
  </si>
  <si>
    <t>EA506AB-42B</t>
  </si>
  <si>
    <t>525x380x180mm 収納ｹｰｽ(ﾊﾞｯｸﾙ付/ｸﾘｱ/5個)</t>
  </si>
  <si>
    <t>EA506AB-43A</t>
  </si>
  <si>
    <t>624x450x227mm 収納ｹｰｽ(ﾊﾞｯｸﾙ付/ﾌﾞﾙｰｸﾞﾘｰﾝ)</t>
  </si>
  <si>
    <t>EA506AB-47A</t>
  </si>
  <si>
    <t>624x450x330mm 収納ｹｰｽ(ﾊﾞｯｸﾙ付/ﾌﾞﾙｰｸﾞﾘｰﾝ)</t>
  </si>
  <si>
    <t>EA506AB-47BA</t>
  </si>
  <si>
    <t>624x450x330mm 収納ｹｰｽ(ﾌﾞﾙｰｸﾞﾘｰﾝ/3個)</t>
  </si>
  <si>
    <t>EA506AB-50CB</t>
  </si>
  <si>
    <t>710x300x160mm 収納ｹｰｽ(ﾊﾞｯｸﾙ付/ｸﾘｱｰ/4個)</t>
  </si>
  <si>
    <t>EA506LA-21BA</t>
  </si>
  <si>
    <t>525x381x187mm 収納ｹｰｽ(ﾊﾞｯｸﾙ付/ｸﾘｱ/5個)</t>
  </si>
  <si>
    <t>1626</t>
  </si>
  <si>
    <t>EA506AM-43</t>
  </si>
  <si>
    <t>726x425x276mm/64.9L コンテナ</t>
  </si>
  <si>
    <t>1629</t>
  </si>
  <si>
    <t>EA520AB-26</t>
  </si>
  <si>
    <t>536x371mm/100kg ドーリー(連結型/50L用)</t>
  </si>
  <si>
    <t>EA506AK-52</t>
  </si>
  <si>
    <t>600x400x180mm/33.4L 折畳コンテ(黒)</t>
  </si>
  <si>
    <t>EA506A-5</t>
  </si>
  <si>
    <t>530x366x320mm/48.0L 折畳ｺﾝﾃﾅ(ﾒｯｼｭ･青/2ｺ)</t>
  </si>
  <si>
    <t>1637</t>
  </si>
  <si>
    <t>EA661CS-2</t>
  </si>
  <si>
    <t>150x265x121mm パーツトレー(重ね置型/青)</t>
  </si>
  <si>
    <t>1641</t>
  </si>
  <si>
    <t>EA506MG-1</t>
  </si>
  <si>
    <t>355x355x765mm ﾛｯｶｰ型収納庫(樹脂製)</t>
  </si>
  <si>
    <t>1647</t>
  </si>
  <si>
    <t>EA506MP-1</t>
  </si>
  <si>
    <t>450x460x420mm/1列2段 連結収納(引出し式)</t>
  </si>
  <si>
    <t>1653</t>
  </si>
  <si>
    <t>EA956CB-13</t>
  </si>
  <si>
    <t>684-1295x469x920mm ツールワゴン</t>
  </si>
  <si>
    <t>EA956CB-20</t>
  </si>
  <si>
    <t>676x459x1484mm ﾂｰﾙﾜｺﾞﾝ+ﾂｰﾙｷｬﾋﾞﾈｯﾄ</t>
  </si>
  <si>
    <t>1660</t>
  </si>
  <si>
    <t>EA954E-101</t>
  </si>
  <si>
    <t>[EA954E-71A用] アジャスター(4個)</t>
  </si>
  <si>
    <t>1674</t>
  </si>
  <si>
    <t>EA976BY-657</t>
  </si>
  <si>
    <t>[EA976BY-656用]替刃</t>
  </si>
  <si>
    <t>EA976DL-150B</t>
  </si>
  <si>
    <t>1490x450x1200mm/150kg/4段 スチール棚</t>
  </si>
  <si>
    <t>1688</t>
  </si>
  <si>
    <t>EA944NM-4B</t>
  </si>
  <si>
    <t>9mmx50m パックシールテープ(黄/1巻)</t>
  </si>
  <si>
    <t>1689</t>
  </si>
  <si>
    <t>EA589CZ-43</t>
  </si>
  <si>
    <t>ダンボールカッター替刃(ﾌｯ素ｺｰﾄ/2枚)</t>
  </si>
  <si>
    <t>1690</t>
  </si>
  <si>
    <t>EA475HZ-21</t>
  </si>
  <si>
    <t>60x120mm 針金荷札(黄/1000枚)</t>
  </si>
  <si>
    <t>EA520AE-32</t>
  </si>
  <si>
    <t>485x350x1080mm/100kg ハンディカート</t>
  </si>
  <si>
    <t>1697</t>
  </si>
  <si>
    <t>EA520FD-12</t>
  </si>
  <si>
    <t>320x250mm/200kg ハンドトラック(6輪式)</t>
  </si>
  <si>
    <t>1706</t>
  </si>
  <si>
    <t>EA520BE-3</t>
  </si>
  <si>
    <t>740x480mm/120kg 運搬車(三段式/ﾌﾞﾚｰｷ付)</t>
  </si>
  <si>
    <t>1707</t>
  </si>
  <si>
    <t>EA520BG-100</t>
  </si>
  <si>
    <t>[EA520BG-11用] 替キャスター(固定)</t>
  </si>
  <si>
    <t>EA520BG-101</t>
  </si>
  <si>
    <t>[EA520BG-11用] 替キャスター(自在)</t>
  </si>
  <si>
    <t>EA520BR-3</t>
  </si>
  <si>
    <t>800x590x1000mm/340kg 運搬車(ﾌﾞﾚｰｷ付/ｱﾙﾐ)</t>
  </si>
  <si>
    <t>1708</t>
  </si>
  <si>
    <t>EA520BE-76</t>
  </si>
  <si>
    <t>800x500mm/120kg 運搬車(二段/ﾌﾞﾚｰｷ付/sus</t>
  </si>
  <si>
    <t>EA520BE-77</t>
  </si>
  <si>
    <t>800x500mm/150kg 運搬車(三段/ﾌﾞﾚｰｷ付/sus</t>
  </si>
  <si>
    <t>1714</t>
  </si>
  <si>
    <t>EA506AG-31</t>
  </si>
  <si>
    <t>900x840x550mm/189L ボックスパレット</t>
  </si>
  <si>
    <t>1717</t>
  </si>
  <si>
    <t>EA985EJ-1</t>
  </si>
  <si>
    <t>1.0ton/ 850mm  ﾊﾝﾄﾞﾊﾟﾚｯﾄﾄﾗｯｸ(超低床型)</t>
  </si>
  <si>
    <t>1721</t>
  </si>
  <si>
    <t>EA985G-21</t>
  </si>
  <si>
    <t>300x1000mm ﾛｰﾗｰｺﾝﾍﾞｱｰ(ｱﾙﾐ製/折畳式)</t>
  </si>
  <si>
    <t>1722</t>
  </si>
  <si>
    <t>EA985MB-41</t>
  </si>
  <si>
    <t>400x1000mm ローラーコンベアー(ｽﾁｰﾙ製)</t>
  </si>
  <si>
    <t>1725</t>
  </si>
  <si>
    <t>EA986PN-104</t>
  </si>
  <si>
    <t>100mm キャスター(ｱﾝｸﾞﾙ用)</t>
  </si>
  <si>
    <t>EA986PN-109</t>
  </si>
  <si>
    <t>100mm キャスター(ｱﾝｸﾞﾙ用・ﾌﾞﾚｰｷ付)</t>
  </si>
  <si>
    <t>1730</t>
  </si>
  <si>
    <t>EA986PP-55</t>
  </si>
  <si>
    <t>150mm キャスター(自在金具･ﾌﾞﾚｰｷ付)</t>
  </si>
  <si>
    <t>1732</t>
  </si>
  <si>
    <t>EA986PS-250</t>
  </si>
  <si>
    <t>225mm キャスター(自在金具付)</t>
  </si>
  <si>
    <t>1735</t>
  </si>
  <si>
    <t>EA986GF-612</t>
  </si>
  <si>
    <t>125mm キャスター(自在金具･穴付)</t>
  </si>
  <si>
    <t>EA986GH-75</t>
  </si>
  <si>
    <t>75mm キャスター(自在金具)</t>
  </si>
  <si>
    <t>EA986GP-21</t>
  </si>
  <si>
    <t>100mm キャスター(自在金具/ﾌﾞﾚｰｷ付)</t>
  </si>
  <si>
    <t>EA986HE-52</t>
  </si>
  <si>
    <t>EA986HM-150</t>
  </si>
  <si>
    <t>150mm キャスター(自在金具)</t>
  </si>
  <si>
    <t>EA986KW-2</t>
  </si>
  <si>
    <t>150mm キャスター(自在金具・前輪ﾌﾞﾚｰｷ付)</t>
  </si>
  <si>
    <t>1743</t>
  </si>
  <si>
    <t>EA986LG-125</t>
  </si>
  <si>
    <t>125mm キャスター(固定金具･ｽﾃﾝﾚｽ製)</t>
  </si>
  <si>
    <t>EA986MW-300</t>
  </si>
  <si>
    <t>300x100mm 車輪(空気入･ｽﾃｨｰﾙﾘﾑ･ﾍﾞｱﾘﾝｸﾞ)</t>
  </si>
  <si>
    <t>1750</t>
  </si>
  <si>
    <t>EA986VH-100</t>
  </si>
  <si>
    <t>100㎜/1200kg 戸車(ﾚｰﾙ用・重量用)</t>
  </si>
  <si>
    <t>EA986RW-8</t>
  </si>
  <si>
    <t>45x17mm/15mm ガイドローラー(ﾎﾟﾘｳﾚﾀﾝ製)</t>
  </si>
  <si>
    <t>EA986RW-13</t>
  </si>
  <si>
    <t>60x20mm/17mm ガイドローラー(ﾎﾟﾘｳﾚﾀﾝ製)</t>
  </si>
  <si>
    <t>EA949HA-230</t>
  </si>
  <si>
    <t>φ30mm/M10x 21mm アジャスターベース</t>
  </si>
  <si>
    <t>1755</t>
  </si>
  <si>
    <t>EA949HA-403</t>
  </si>
  <si>
    <t>φ80mm/M10x 43mm ｱｼﾞｬｽﾀｰﾍﾞｰｽ(首振り)</t>
  </si>
  <si>
    <t>1757</t>
  </si>
  <si>
    <t>EA993KC-3A</t>
  </si>
  <si>
    <t>3.0ton/19-81mm 爪付ジャッキ(低床)</t>
  </si>
  <si>
    <t>1762</t>
  </si>
  <si>
    <t>EA989RD-41</t>
  </si>
  <si>
    <t>907kg ハンドウィンチ(ｳｫｰﾑｷﾞｱ)</t>
  </si>
  <si>
    <t>1763</t>
  </si>
  <si>
    <t>EA989RD-13</t>
  </si>
  <si>
    <t>862kg ハンドウィンチ</t>
  </si>
  <si>
    <t>1764</t>
  </si>
  <si>
    <t>EA989S-11</t>
  </si>
  <si>
    <t>51x910mm D環付ストラップ</t>
  </si>
  <si>
    <t>1765</t>
  </si>
  <si>
    <t>EA982B-8G</t>
  </si>
  <si>
    <t>50mmx8.2m/1650kgベルト荷締機(ﾗﾁｪｯﾄ式/OD)</t>
  </si>
  <si>
    <t>EA982BB-132</t>
  </si>
  <si>
    <t>680kg/50mmx4.8m ベルト荷締機(ｽﾃﾝﾚｽ製/青)</t>
  </si>
  <si>
    <t>EA982SA-16</t>
  </si>
  <si>
    <t>25mmx 6.0m/ 254kg ﾍﾞﾙﾄ荷締機(両端ｱｲ型)</t>
  </si>
  <si>
    <t>EA982SA-34</t>
  </si>
  <si>
    <t>50mmx 4.0m/ 764kg ﾍﾞﾙﾄ荷締機(両端ｱｲ型)</t>
  </si>
  <si>
    <t>EA982SA-36</t>
  </si>
  <si>
    <t>50mmx 6.0m/ 764kg ﾍﾞﾙﾄ荷締機(両端ｱｲ型)</t>
  </si>
  <si>
    <t>EA982SF-25</t>
  </si>
  <si>
    <t>50mmx 5.0m/ 764kg ﾍﾞﾙﾄ荷締機(両端ﾌｯｸ/SUS</t>
  </si>
  <si>
    <t>EA982ST-34</t>
  </si>
  <si>
    <t>75mmx 4.0m/2540kg ﾍﾞﾙﾄ荷締機(両端ﾌｯｸ型)</t>
  </si>
  <si>
    <t>EA982SB-40</t>
  </si>
  <si>
    <t>50mmx10.0m/1520kg ベルト荷締機(ｴﾝﾄﾞﾚｽ)</t>
  </si>
  <si>
    <t>EA982SE-5</t>
  </si>
  <si>
    <t>25mmx 5.0m/ 509kg ﾍﾞﾙﾄ荷締機(ｴﾝﾄﾞﾚｽ/SUS)</t>
  </si>
  <si>
    <t>1771</t>
  </si>
  <si>
    <t>EA638FY-111</t>
  </si>
  <si>
    <t>25mm フック・ダブルＪ型(ｽﾁｰﾙ黒ﾒｯｷ/2個)</t>
  </si>
  <si>
    <t>1772</t>
  </si>
  <si>
    <t>EA638JT-5B</t>
  </si>
  <si>
    <t>4.8x45.7mm Ｄ型リング(ｽﾃﾝﾚｽ製)</t>
  </si>
  <si>
    <t>EA638JT-6C</t>
  </si>
  <si>
    <t>6.4x63.5mm Ｄ型リング(ｽﾃﾝﾚｽ製)</t>
  </si>
  <si>
    <t>EA628PT-12A</t>
  </si>
  <si>
    <t>20x1.2mm/25m ベルト・平織(PP製・黒)</t>
  </si>
  <si>
    <t>EA944M-25</t>
  </si>
  <si>
    <t>20mmx2.0m 両面マジック結束バンド(灰)</t>
  </si>
  <si>
    <t>1775</t>
  </si>
  <si>
    <t>EA944MA-407</t>
  </si>
  <si>
    <t>20x1000mm 結束マジックバンド(OD)</t>
  </si>
  <si>
    <t>EA628WL-520</t>
  </si>
  <si>
    <t>20x2.0mmx100m 平ｺﾞﾑﾛｰﾌﾟ(ドラム巻/金具付)</t>
  </si>
  <si>
    <t>EA628WA-1</t>
  </si>
  <si>
    <t>610mm ラバーストラップ</t>
  </si>
  <si>
    <t>EA916Y-15A</t>
  </si>
  <si>
    <t>シートクリップ</t>
  </si>
  <si>
    <t>EA628PS-29</t>
  </si>
  <si>
    <t>3.5mmx 20m ひも・江戸打(ﾅｲﾛﾝ製･OD色)</t>
  </si>
  <si>
    <t>1781</t>
  </si>
  <si>
    <t>EA628XA-30B</t>
  </si>
  <si>
    <t>9.0mm x30m トラックロープ(ｸﾚﾓﾅ)</t>
  </si>
  <si>
    <t>1782</t>
  </si>
  <si>
    <t>EA628AC-13</t>
  </si>
  <si>
    <t>8.0mmx15m ポリエスターロープ</t>
  </si>
  <si>
    <t>EA911TG-22</t>
  </si>
  <si>
    <t>軽トラック用ゲートプロテクター(太ﾄﾘｲ用)</t>
  </si>
  <si>
    <t>EA911TG-35</t>
  </si>
  <si>
    <t>33-42mmx1m ﾄﾗｯｸ用ゲートプロテクター</t>
  </si>
  <si>
    <t>1784</t>
  </si>
  <si>
    <t>EA984CD-52</t>
  </si>
  <si>
    <t>250kg マグネットリフター</t>
  </si>
  <si>
    <t>1786</t>
  </si>
  <si>
    <t>EA987SD-50W</t>
  </si>
  <si>
    <t>50mm 滑車(ｽﾃﾝﾚｽ製/2車)</t>
  </si>
  <si>
    <t>EA987SF-40</t>
  </si>
  <si>
    <t>30mm 滑車(ｽﾃﾝﾚｽ製/ﾋﾞｽ止め型)</t>
  </si>
  <si>
    <t>1792</t>
  </si>
  <si>
    <t>EA981WM-82</t>
  </si>
  <si>
    <t>1.5x1.5m ﾜｲﾔｰﾓｯｺ(2点吊/ｼｰﾄ無)</t>
  </si>
  <si>
    <t>1793</t>
  </si>
  <si>
    <t>EA981WS-32</t>
  </si>
  <si>
    <t>1.4 tonx1.5m ワイヤースリング(2本懸け)</t>
  </si>
  <si>
    <t>EA981WT-12</t>
  </si>
  <si>
    <t>0.84tonx1.5m ワイヤースリング(4本懸け)</t>
  </si>
  <si>
    <t>EA981CL-8</t>
  </si>
  <si>
    <t>100mmx8.0m/3.2ton ｼｸﾞﾅﾙｽﾘﾝｸﾞ(JIS3等級)</t>
  </si>
  <si>
    <t>EA981CM-6</t>
  </si>
  <si>
    <t>150mmx6.0m/5.0ton ｼｸﾞﾅﾙｽﾘﾝｸﾞ(JIS3等級)</t>
  </si>
  <si>
    <t>EA981FH-1.5</t>
  </si>
  <si>
    <t>35mmx1.5m/ 1.6ton ベルトスリング(ｼｸﾞﾅﾙ)</t>
  </si>
  <si>
    <t>EA981FL-1</t>
  </si>
  <si>
    <t>100mmx1.0m/ 4.0ton ベルトスリング(ｼｸﾞﾅﾙ)</t>
  </si>
  <si>
    <t>EA981FM-2.5</t>
  </si>
  <si>
    <t>150mmx2.5m/ 6.3ton ベルトスリング(ｼｸﾞﾅﾙ)</t>
  </si>
  <si>
    <t>EA981FN-2.5</t>
  </si>
  <si>
    <t>200mmx2.5m/ 8.0ton ベルトスリング(ｼｸﾞﾅﾙ)</t>
  </si>
  <si>
    <t>EA981FE-37A</t>
  </si>
  <si>
    <t>2.79tonx4.0m 金具付スリング(４本懸け)</t>
  </si>
  <si>
    <t>EA981VA-44</t>
  </si>
  <si>
    <t>6.0tonx 1.5m スリングチェーン(4本懸け)</t>
  </si>
  <si>
    <t>1801</t>
  </si>
  <si>
    <t>EA984E-100</t>
  </si>
  <si>
    <t>100kg/0-100mm 万能クランプ</t>
  </si>
  <si>
    <t>EA984W-4</t>
  </si>
  <si>
    <t>680kg/140x51mm ドラムグラブ(55ｶﾞﾛﾝﾄﾞﾗﾑ)</t>
  </si>
  <si>
    <t>1805</t>
  </si>
  <si>
    <t>EA987FA-15</t>
  </si>
  <si>
    <t>1.5ton スイベルフック</t>
  </si>
  <si>
    <t>1806</t>
  </si>
  <si>
    <t>EA987GH-4B</t>
  </si>
  <si>
    <t>4.0ton クレーン用レデューサーフック</t>
  </si>
  <si>
    <t>EA638NM-6</t>
  </si>
  <si>
    <t>9.5Ton 強力型 シャックル</t>
  </si>
  <si>
    <t>EA638NM-8</t>
  </si>
  <si>
    <t>13.5Ton 強力型 シャックル</t>
  </si>
  <si>
    <t>EA638KJ-8</t>
  </si>
  <si>
    <t>250kg 角頭 シャックル(ｽﾃﾝﾚｽ製)</t>
  </si>
  <si>
    <t>EA638BT-34</t>
  </si>
  <si>
    <t>12.7x59.6mm/1.36ton 吊り環(ｽﾃﾝﾚｽ製)</t>
  </si>
  <si>
    <t>1810</t>
  </si>
  <si>
    <t>EA638BN-10</t>
  </si>
  <si>
    <t>M10 アイナット(ｽﾃﾝﾚｽ製)</t>
  </si>
  <si>
    <t>EA903AG-8</t>
  </si>
  <si>
    <t>356x182mmx0.80m/3段 踏台(ｱﾙﾐ製/ﾌﾞﾗｯｸ)</t>
  </si>
  <si>
    <t>1819</t>
  </si>
  <si>
    <t>EA903AP-120</t>
  </si>
  <si>
    <t>305x400mm/1.19m/4段 作業台(ｱﾙﾐ製)</t>
  </si>
  <si>
    <t>EA903BC-3A</t>
  </si>
  <si>
    <t>400x400mm/0.90m/3段 折畳式足場(ｱﾙﾐ製)</t>
  </si>
  <si>
    <t>EA903BX-1</t>
  </si>
  <si>
    <t>作業台用連結金具 (2個)</t>
  </si>
  <si>
    <t>1824</t>
  </si>
  <si>
    <t>EA903AZ-1A</t>
  </si>
  <si>
    <t>脚先保護カバー(脚立用/黒/4個)</t>
  </si>
  <si>
    <t>EA905P-12A</t>
  </si>
  <si>
    <t>0.79-1.20m 足場台(伸縮天場･調整脚)</t>
  </si>
  <si>
    <t>EA509AD-68</t>
  </si>
  <si>
    <t>195x30x25mm ペンケース(小物袋)</t>
  </si>
  <si>
    <t>EA954TE-4</t>
  </si>
  <si>
    <t>81x104mm ペンスタンド(白)</t>
  </si>
  <si>
    <t>1839</t>
  </si>
  <si>
    <t>EA736B-6</t>
  </si>
  <si>
    <t>15cm 三定定規セット(2枚組)</t>
  </si>
  <si>
    <t>EA736B-11</t>
  </si>
  <si>
    <t>20cm・25cm 三定方眼定規セット(2枚組)</t>
  </si>
  <si>
    <t>EA736B</t>
  </si>
  <si>
    <t>15cm 三角回転定規</t>
  </si>
  <si>
    <t>EA762AD-5</t>
  </si>
  <si>
    <t>φ52mm 朱肉</t>
  </si>
  <si>
    <t>EA762EC-21</t>
  </si>
  <si>
    <t>600x450mm デスクマット(光学ﾏｳｽ対応)</t>
  </si>
  <si>
    <t>1844</t>
  </si>
  <si>
    <t>EA762EB-36</t>
  </si>
  <si>
    <t>365x517mm デスクカッター(A4/50枚/折畳式)</t>
  </si>
  <si>
    <t>EA720Y-120</t>
  </si>
  <si>
    <t>1210mm セーフティーカッターガイド</t>
  </si>
  <si>
    <t>EA720Y-319</t>
  </si>
  <si>
    <t>1900mm セーフティーカッターガイド</t>
  </si>
  <si>
    <t>1855</t>
  </si>
  <si>
    <t>EA765MA-99</t>
  </si>
  <si>
    <t>15mmx  6m 着色セロテープ[R](白)</t>
  </si>
  <si>
    <t>EA765MB-94</t>
  </si>
  <si>
    <t>2.2g 極細スティックのり</t>
  </si>
  <si>
    <t>1856</t>
  </si>
  <si>
    <t>EA762HC-16A</t>
  </si>
  <si>
    <t>40枚用 軽とじホッチキス(ﾐﾝﾄﾌﾞﾙｰ)</t>
  </si>
  <si>
    <t>EA944N-140</t>
  </si>
  <si>
    <t>13-80mm 電動テープディスペンサー</t>
  </si>
  <si>
    <t>1858</t>
  </si>
  <si>
    <t>EA762MD-10</t>
  </si>
  <si>
    <t>310x437x422mm/150枚 強力型パンチ</t>
  </si>
  <si>
    <t>1859</t>
  </si>
  <si>
    <t>EA762MB-14</t>
  </si>
  <si>
    <t>５枚用/Ｂ５/26穴 グリッサー</t>
  </si>
  <si>
    <t>1860</t>
  </si>
  <si>
    <t>EA761LP-141</t>
  </si>
  <si>
    <t>２Ｌ判 フォトフレーム(ﾌﾞﾗｳﾝ)</t>
  </si>
  <si>
    <t>1862</t>
  </si>
  <si>
    <t>EA762CJ-37</t>
  </si>
  <si>
    <t>180枚 カード･名刺ホルダー(ﾋﾟﾝｸ)</t>
  </si>
  <si>
    <t>EA762FA-46</t>
  </si>
  <si>
    <t>[ 大 /30mm] アルミ製ゼムクリップ(35本)</t>
  </si>
  <si>
    <t>1866</t>
  </si>
  <si>
    <t>EA762FG-194</t>
  </si>
  <si>
    <t>45x50mm マグネットクリップ(黒)</t>
  </si>
  <si>
    <t>EA762DA-43</t>
  </si>
  <si>
    <t>Ａ４/Ｅ型 クリップボード</t>
  </si>
  <si>
    <t>1873</t>
  </si>
  <si>
    <t>EA762CF-23</t>
  </si>
  <si>
    <t>Ａ４/Ｓ型 レターファイル(緑/10冊)</t>
  </si>
  <si>
    <t>EA762CW-33</t>
  </si>
  <si>
    <t>Ｌ判２段 アルバム(ｸﾞﾘｰﾝ)</t>
  </si>
  <si>
    <t>EA762CW-53</t>
  </si>
  <si>
    <t>Ｌ判３段 アルバム(ｸﾞﾘｰﾝ)</t>
  </si>
  <si>
    <t>EA762DA-171</t>
  </si>
  <si>
    <t>235x171mm/A5 ｸﾘｯﾌﾟﾌｧｲﾙ(二つ折り/ﾌﾞﾙｰ)</t>
  </si>
  <si>
    <t>1875</t>
  </si>
  <si>
    <t>EA762CR-1</t>
  </si>
  <si>
    <t>118x160x38mm 伝票ファイル(入･出金伝票)</t>
  </si>
  <si>
    <t>EA762CC-13</t>
  </si>
  <si>
    <t>A4/310x220mm クリアーホルダー(緑/10枚)</t>
  </si>
  <si>
    <t>EA762CB-183</t>
  </si>
  <si>
    <t>314x239mm クリアーホルダー(よこ型/ｵﾚﾝｼﾞ)</t>
  </si>
  <si>
    <t>EA762CB-292</t>
  </si>
  <si>
    <t>242x334mm/A4タテ型 ﾄﾞｷｭﾒﾝﾄﾎﾙﾀﾞｰ(ﾚｯﾄﾞ)</t>
  </si>
  <si>
    <t>1880</t>
  </si>
  <si>
    <t>EA762CF-326</t>
  </si>
  <si>
    <t>635x450mm デザインケース(A2/ﾀﾞｰｸﾌﾞﾙｰ)</t>
  </si>
  <si>
    <t>EA927AS-3</t>
  </si>
  <si>
    <t>275x360x110mm ｵﾌｨｽ用ﾄｰﾄﾊﾞｯｸﾞ(ﾀｰｺｲｽﾞﾌﾞﾙｰ)</t>
  </si>
  <si>
    <t>EA927AS-23</t>
  </si>
  <si>
    <t>275x355x110mm ｵﾌｨｽ用トートバッグ(ﾈｲﾋﾞｰ)</t>
  </si>
  <si>
    <t>EA956VC-121A</t>
  </si>
  <si>
    <t>42x32mm 備品ラベル (5ｼｰﾄ/160片)</t>
  </si>
  <si>
    <t>1882</t>
  </si>
  <si>
    <t>EA762GA-336</t>
  </si>
  <si>
    <t>70x70mm 粘着メモ(ｲﾝﾃﾞｯｸｽ一体型/ﾈｵﾝﾌﾞﾙｰ)</t>
  </si>
  <si>
    <t>EA762GA-338</t>
  </si>
  <si>
    <t>70x70mm 粘着メモ(ｲﾝﾃﾞｯｸｽ一体型/ﾈｵﾝｸﾞﾘｰﾝ</t>
  </si>
  <si>
    <t>1883</t>
  </si>
  <si>
    <t>EA762GA-187</t>
  </si>
  <si>
    <t>75x 25mm 強粘着メモ(45枚x8個/4色)</t>
  </si>
  <si>
    <t>EA762GC-82</t>
  </si>
  <si>
    <t>6mm方眼罫 ｾﾐB5ﾉｰﾄ(40ﾍﾟｰｼﾞ/ｸﾞﾚｰ/5冊)</t>
  </si>
  <si>
    <t>1885</t>
  </si>
  <si>
    <t>EA762FA-253</t>
  </si>
  <si>
    <t>φ40mm カードリング(6個入)</t>
  </si>
  <si>
    <t>1886</t>
  </si>
  <si>
    <t>EA954TD-122</t>
  </si>
  <si>
    <t>20-330x260x325mm ﾌｧｲﾙｽﾀﾝﾄﾞ(伸縮式/ﾋﾟﾝｸ)</t>
  </si>
  <si>
    <t>EA762CF-332</t>
  </si>
  <si>
    <t>A4/ 70x321x268mm ﾎﾞｯｸｽﾊﾞｯｸﾞ(ﾚｯﾄﾞ)</t>
  </si>
  <si>
    <t>1888</t>
  </si>
  <si>
    <t>EA506AJ-32</t>
  </si>
  <si>
    <t>359x483x248mm/33.0L 折畳コンテナ(ｸﾞﾘｰﾝ)</t>
  </si>
  <si>
    <t>EA506AJ-33</t>
  </si>
  <si>
    <t>359x483x248mm/33.0L 折畳コンテナ(ｵﾚﾝｼﾞ)</t>
  </si>
  <si>
    <t>EA506AJ-35</t>
  </si>
  <si>
    <t>359x483x248mm/33.0L 折畳コンテナ(ｲｴﾛｰ)</t>
  </si>
  <si>
    <t>1889</t>
  </si>
  <si>
    <t>EA995BB-32</t>
  </si>
  <si>
    <t>436x341x292mm/A4 文書保存ﾎﾞｯｸｽ(強化ﾀｲﾌﾟ)</t>
  </si>
  <si>
    <t>1897</t>
  </si>
  <si>
    <t>EA761DE-122</t>
  </si>
  <si>
    <t>12mm テープカセット(強粘着/緑)</t>
  </si>
  <si>
    <t>EA762GD-22</t>
  </si>
  <si>
    <t>18mm メモプリンターテープ(黄/2巻)</t>
  </si>
  <si>
    <t>EA761LA-101A</t>
  </si>
  <si>
    <t>1200x 900mm ﾎﾜｲﾄﾎﾞｰﾄﾞｼｰﾄ(ﾏｸﾞﾈｯﾄ付)</t>
  </si>
  <si>
    <t>EA761LC-76A</t>
  </si>
  <si>
    <t>303x213x 15mm ホワイトボード(ﾏｸﾞﾈｯﾄ枠)</t>
  </si>
  <si>
    <t>EA761LC-78A</t>
  </si>
  <si>
    <t>603x453x 15mm ホワイトボード(ﾏｸﾞﾈｯﾄ枠)</t>
  </si>
  <si>
    <t>EA759PA-60</t>
  </si>
  <si>
    <t>3000lm プロジェクター</t>
  </si>
  <si>
    <t>EA759PA-61</t>
  </si>
  <si>
    <t>600lm モバイルプロジェクター</t>
  </si>
  <si>
    <t>EA761LM-143</t>
  </si>
  <si>
    <t>2657x1494mm スクリーン(伸縮式)</t>
  </si>
  <si>
    <t>1906</t>
  </si>
  <si>
    <t>EA764AG-162</t>
  </si>
  <si>
    <t>1200x600x1025mm ﾃﾞｨｽﾌﾟﾚｲｽﾀﾝﾄﾞ(ｷｬｽﾀｰ付)</t>
  </si>
  <si>
    <t>EA761XL-19</t>
  </si>
  <si>
    <t>ノートPC用LEDライト(USB  Aｺﾈｸﾀｵｽ)</t>
  </si>
  <si>
    <t>EA764AW-23</t>
  </si>
  <si>
    <t>500万画素x2/2m 会議用ｶﾒﾗ(最大画角180°)</t>
  </si>
  <si>
    <t>1910</t>
  </si>
  <si>
    <t>EA764AB-186</t>
  </si>
  <si>
    <t>1.0m 高感度USBマイク(WEB会議向け/ﾌﾗｯﾄ型)</t>
  </si>
  <si>
    <t>EA764AS-207</t>
  </si>
  <si>
    <t>会議用Bluetoothｽﾋﾟｰｶｰﾌｫﾝ(1人用)</t>
  </si>
  <si>
    <t>EA764AG-109</t>
  </si>
  <si>
    <t>50.0インチ  大型液晶ディスプレイ</t>
  </si>
  <si>
    <t>EA764AG-236</t>
  </si>
  <si>
    <t>50V型ディスプレイ+スタンドセット</t>
  </si>
  <si>
    <t>1912</t>
  </si>
  <si>
    <t>EA764AS-11B</t>
  </si>
  <si>
    <t>70x 83x170mm スピーカー(ﾌﾞﾗｯｸ)</t>
  </si>
  <si>
    <t>EA764AS-18B</t>
  </si>
  <si>
    <t>スピーカー(ﾌﾞﾗｯｸ/ｻﾌﾞｳｰﾌｧｰ搭載)</t>
  </si>
  <si>
    <t>1914</t>
  </si>
  <si>
    <t>EA763BC-52</t>
  </si>
  <si>
    <t>28mm ﾍｯﾄﾞｾｯﾄﾏｲｸﾛﾎﾝ(USB電源/ﾓﾉﾗﾙ)</t>
  </si>
  <si>
    <t>1916</t>
  </si>
  <si>
    <t>EA800LZ-1</t>
  </si>
  <si>
    <t>VRゴーグル(ｽﾀﾝﾀﾞｰﾄﾞﾀｲﾌﾟ)</t>
  </si>
  <si>
    <t>1918</t>
  </si>
  <si>
    <t>EA764AA-214</t>
  </si>
  <si>
    <t>[充電式] ワイヤレスマウス(超薄型)</t>
  </si>
  <si>
    <t>EA764-115</t>
  </si>
  <si>
    <t>150x180x0.9mm マウスパッド(ﾌﾞﾗｯｸ)</t>
  </si>
  <si>
    <t>EA758YK-626</t>
  </si>
  <si>
    <t>20000mAh ﾓﾊﾞｲﾙﾊﾞｯﾃﾘｰ(ﾉｰﾄPC/変換ﾌﾟﾗｸﾞ付)</t>
  </si>
  <si>
    <t>EA764AJ-171</t>
  </si>
  <si>
    <t>0.1m ミニUSBケーブル(A-ﾐﾆB5pin/2.0対応)</t>
  </si>
  <si>
    <t>EA764AC-105</t>
  </si>
  <si>
    <t>USB変換ｱﾀﾞﾌﾟﾀｰ(TypeC-HDMI/DPaltﾓｰﾄﾞ対応)</t>
  </si>
  <si>
    <t>1935</t>
  </si>
  <si>
    <t>EA764AD-203</t>
  </si>
  <si>
    <t>USB3.2 USB切替器(2回路/ﾏｸﾞﾈｯﾄ付)</t>
  </si>
  <si>
    <t>1936</t>
  </si>
  <si>
    <t>EA764AD-74</t>
  </si>
  <si>
    <t>[ 7ﾎﾟｰﾄ] USB3.2ハブ(充電ﾎﾟｰﾄ付)</t>
  </si>
  <si>
    <t>1940</t>
  </si>
  <si>
    <t>EA759EA-18</t>
  </si>
  <si>
    <t>ﾜｲﾔﾚｽHDMIｴｸｽﾃﾝﾀﾞｰｾｯﾄ(据置型)</t>
  </si>
  <si>
    <t>1941</t>
  </si>
  <si>
    <t>EA764AE-54</t>
  </si>
  <si>
    <t>ディスプレイ切替器(ｱﾅﾛｸﾞ入力対応)</t>
  </si>
  <si>
    <t>1942</t>
  </si>
  <si>
    <t>EA764GY-178</t>
  </si>
  <si>
    <t>HDMIキャプチャー(HDMI出力ﾎﾟｰﾄ付)</t>
  </si>
  <si>
    <t>1944</t>
  </si>
  <si>
    <t>EA940PM-121A</t>
  </si>
  <si>
    <t>0.75m ＨＤＭＩミニケーブル</t>
  </si>
  <si>
    <t>EA764BY-38B</t>
  </si>
  <si>
    <t>128x 84x30mm [8ﾎﾟｰﾄ]スイッチングハブ</t>
  </si>
  <si>
    <t>1949</t>
  </si>
  <si>
    <t>EA764B-340</t>
  </si>
  <si>
    <t>40m ＬＡＮケーブル(ｶﾃｺﾞﾘｰ5e準拠)(ﾚｯﾄﾞ)</t>
  </si>
  <si>
    <t>EA764B-425</t>
  </si>
  <si>
    <t>25m ＬＡＮケーブル(ｶﾃｺﾞﾘｰ5e準拠)(ﾌﾞﾗｯｸ)</t>
  </si>
  <si>
    <t>EA764B-430</t>
  </si>
  <si>
    <t>30m ＬＡＮケーブル(ｶﾃｺﾞﾘｰ5e準拠)(ﾌﾞﾗｯｸ)</t>
  </si>
  <si>
    <t>1951</t>
  </si>
  <si>
    <t>EA764BB-142</t>
  </si>
  <si>
    <t>3 m フラットＬＡＮケーブル(CAT7/ﾎﾜｲﾄ)</t>
  </si>
  <si>
    <t>1956</t>
  </si>
  <si>
    <t>EA764AG-8</t>
  </si>
  <si>
    <t>558mm モニターアーム(垂直可動)</t>
  </si>
  <si>
    <t>EA764AG-72</t>
  </si>
  <si>
    <t>455mm モニターアーム(水平･垂直･可動)</t>
  </si>
  <si>
    <t>EA954JB-81</t>
  </si>
  <si>
    <t>200x240x296mm テレホンスタンド</t>
  </si>
  <si>
    <t>EA954JB-82</t>
  </si>
  <si>
    <t>200x240x459mm テレホンスタンド</t>
  </si>
  <si>
    <t>EA920AC-3</t>
  </si>
  <si>
    <t>350ml エアーブロワー(2本)</t>
  </si>
  <si>
    <t>EA928AA-101</t>
  </si>
  <si>
    <t>300mm クリーニングブラシ</t>
  </si>
  <si>
    <t>1966</t>
  </si>
  <si>
    <t>EA759XE-2</t>
  </si>
  <si>
    <t>A4判/  2面 光沢紙ﾌﾟﾘﾝﾀｰﾗﾍﾞﾙ(10枚)</t>
  </si>
  <si>
    <t>EA759XE-46</t>
  </si>
  <si>
    <t>A4判/ 1面 ﾌﾟﾘﾝﾀｰﾗﾍﾞﾙ(ﾏｸﾞﾈｯﾄﾀｲﾌﾟ/2枚)</t>
  </si>
  <si>
    <t>EA759XE-57</t>
  </si>
  <si>
    <t>A3判/ 1面 ﾌﾟﾘﾝﾀｰﾗﾍﾞﾙ(ﾂﾔ消し/強粘着/5枚)</t>
  </si>
  <si>
    <t>EA759XE-72</t>
  </si>
  <si>
    <t>A4判/ 4面 ﾌﾟﾘﾝﾀｰﾗﾍﾞﾙ(強粘着/4枚)</t>
  </si>
  <si>
    <t>EA759XE-139</t>
  </si>
  <si>
    <t>A4判/10面 78.5x  47 mm ﾌﾟﾘﾝﾀｰﾗﾍﾞﾙ(20枚)</t>
  </si>
  <si>
    <t>1967</t>
  </si>
  <si>
    <t>EA759XD-61</t>
  </si>
  <si>
    <t>A4判/ 1面 ﾌﾟﾘﾝﾀｰﾗﾍﾞﾙ(再剥離対応/10枚)</t>
  </si>
  <si>
    <t>1968</t>
  </si>
  <si>
    <t>EA759XA-104</t>
  </si>
  <si>
    <t>2L判 ｲﾝｸｼﾞｪｯﾄ写真用紙(超厚手/50枚)</t>
  </si>
  <si>
    <t>EA759GV-132</t>
  </si>
  <si>
    <t>4GB ＵＳＢメモリー(ｳｲﾙｽ対策ｿﾌﾄ搭載/1年)</t>
  </si>
  <si>
    <t>EA759GK-29F</t>
  </si>
  <si>
    <t>128GB ＳＤＸＣメモリーカード</t>
  </si>
  <si>
    <t>EA759GS-66B</t>
  </si>
  <si>
    <t>50GB ＢＤ-Ｒ(ﾋﾞﾃﾞｵ用 4倍速/5枚)</t>
  </si>
  <si>
    <t>1974</t>
  </si>
  <si>
    <t>EA762EE-96</t>
  </si>
  <si>
    <t>CD/DVD用ペーパースリーブケース(50枚)</t>
  </si>
  <si>
    <t>1977</t>
  </si>
  <si>
    <t>EA761HE-147</t>
  </si>
  <si>
    <t>303x426mm ﾗﾐﾈｰﾄﾌｨﾙﾑ(つや消し/10枚)</t>
  </si>
  <si>
    <t>1979</t>
  </si>
  <si>
    <t>EA763ZB-68</t>
  </si>
  <si>
    <t>700x300x700mm/43L シュレッダー</t>
  </si>
  <si>
    <t>1985</t>
  </si>
  <si>
    <t>EA798CN-12</t>
  </si>
  <si>
    <t>φ315mm 掛時計(温度･湿度計付)</t>
  </si>
  <si>
    <t>1986</t>
  </si>
  <si>
    <t>EA798CS-110</t>
  </si>
  <si>
    <t>66x 60x151mm [充電式]スピーカークロック</t>
  </si>
  <si>
    <t>1987</t>
  </si>
  <si>
    <t>EA798CS-95</t>
  </si>
  <si>
    <t>109x103x 61mm [電波]目ざまし時計</t>
  </si>
  <si>
    <t>1991</t>
  </si>
  <si>
    <t>EA790MD-2A</t>
  </si>
  <si>
    <t>防水型デジタルトランシーバー</t>
  </si>
  <si>
    <t>EA763CF-18A</t>
  </si>
  <si>
    <t>22W ワイヤレスアンプ(CD付)</t>
  </si>
  <si>
    <t>EA763CF-23</t>
  </si>
  <si>
    <t>40W 防滴形ワイヤレスアンプ(300MHz帯)</t>
  </si>
  <si>
    <t>EA916X-11A</t>
  </si>
  <si>
    <t>15Ｗ メガホン(ﾎｲｯｽﾙ音付)</t>
  </si>
  <si>
    <t>EA916X-16</t>
  </si>
  <si>
    <t>15Ｗ メガホン</t>
  </si>
  <si>
    <t>EA916X-36</t>
  </si>
  <si>
    <t>EA916X-92</t>
  </si>
  <si>
    <t>4.5W メガホン(抗ｳｲﾙｽｺｰﾃｨﾝｸﾞ/ｻｲﾚﾝ音付)</t>
  </si>
  <si>
    <t>1997</t>
  </si>
  <si>
    <t>EA763CH-6</t>
  </si>
  <si>
    <t>60W 卓上型アンプ</t>
  </si>
  <si>
    <t>EA763CS-5A</t>
  </si>
  <si>
    <t>5W 防滴型スピーカー</t>
  </si>
  <si>
    <t>EA763CS-6A</t>
  </si>
  <si>
    <t>2001</t>
  </si>
  <si>
    <t>EA759EX-92B</t>
  </si>
  <si>
    <t>470-1622mm カメラ三脚(中型用)</t>
  </si>
  <si>
    <t>2002</t>
  </si>
  <si>
    <t>EA759ES-6</t>
  </si>
  <si>
    <t>310mm レフ板(ﾎｰﾙ付)</t>
  </si>
  <si>
    <t>EA756X-25</t>
  </si>
  <si>
    <t>６倍 単眼鏡</t>
  </si>
  <si>
    <t>EA757AC-21</t>
  </si>
  <si>
    <t>x12/21mm 双眼鏡(防振･防水)</t>
  </si>
  <si>
    <t>2010</t>
  </si>
  <si>
    <t>EA954HC-10</t>
  </si>
  <si>
    <t>350x600x1200mm デスクサイドラック</t>
  </si>
  <si>
    <t>EA954HC-362A</t>
  </si>
  <si>
    <t>600x530x1170-1320mm パソコンデスク</t>
  </si>
  <si>
    <t>EA954HC-289</t>
  </si>
  <si>
    <t>530x565x1088mm 移動式機器設置カート</t>
  </si>
  <si>
    <t>2012</t>
  </si>
  <si>
    <t>EA954HC-185</t>
  </si>
  <si>
    <t>1180x280x800mm 机上ラック(ﾀﾞｰｸ相)</t>
  </si>
  <si>
    <t>2013</t>
  </si>
  <si>
    <t>EA954HC-5</t>
  </si>
  <si>
    <t>680x734x430mm 卓上昇降デスク</t>
  </si>
  <si>
    <t>EA954HE-112</t>
  </si>
  <si>
    <t>450x300x 745mm ワゴン(ｷｬｽﾀｰ付)</t>
  </si>
  <si>
    <t>2019</t>
  </si>
  <si>
    <t>EA954T-11</t>
  </si>
  <si>
    <t>250x246-450x57mm ﾃﾞｽｸ引き出し用ﾄﾚｰ(ﾎﾜｲﾄ)</t>
  </si>
  <si>
    <t>2023</t>
  </si>
  <si>
    <t>EA954HC-612</t>
  </si>
  <si>
    <t>1500x 750x700mm ﾐｰﾃｨﾝｸﾞﾃｰﾌﾞﾙ(ﾅﾁｭﾗﾙ)</t>
  </si>
  <si>
    <t>EA954HC-642</t>
  </si>
  <si>
    <t>1200x 900x720mm ﾐｰﾃｨﾝｸﾞﾃｰﾌﾞﾙ(ﾅﾁｭﾗﾙ)</t>
  </si>
  <si>
    <t>2024</t>
  </si>
  <si>
    <t>EA954HC-211</t>
  </si>
  <si>
    <t>800x450x700mm ワークデスク(ﾅﾁｭﾗﾙ)</t>
  </si>
  <si>
    <t>2026</t>
  </si>
  <si>
    <t>EA956XB-32</t>
  </si>
  <si>
    <t>ビジネスチェアー(ｸﾞﾘｰﾝ)</t>
  </si>
  <si>
    <t>EA956XB-38</t>
  </si>
  <si>
    <t>ビジネスチェアー(ｸﾞﾚｰ)</t>
  </si>
  <si>
    <t>EA956XC-74</t>
  </si>
  <si>
    <t>メディカルチェアー(ﾋﾟﾝｸ)</t>
  </si>
  <si>
    <t>2033</t>
  </si>
  <si>
    <t>EA956XE-103</t>
  </si>
  <si>
    <t>1820x280x430mm 折畳ﾛﾝｸﾞﾍﾞﾝﾁ(OD/樹脂天板)</t>
  </si>
  <si>
    <t>2044</t>
  </si>
  <si>
    <t>EA954ES-1</t>
  </si>
  <si>
    <t>900x510x895mm/３人用 パーソナルロッカー</t>
  </si>
  <si>
    <t>EA954ES-3</t>
  </si>
  <si>
    <t>900x510x895mm/９人用 パーソナルロッカー</t>
  </si>
  <si>
    <t>2045</t>
  </si>
  <si>
    <t>EA956NA-32</t>
  </si>
  <si>
    <t>750x600x800mm 三方枠作業台(ｽﾃﾝﾚｽ製)</t>
  </si>
  <si>
    <t>EA956NA-42</t>
  </si>
  <si>
    <t>900x450x800mm/100kg ワゴン(二段/ｽﾃﾝﾚｽ製)</t>
  </si>
  <si>
    <t>EA954EA-253</t>
  </si>
  <si>
    <t>900x1600mm パーテーション(ｲｴﾛｰｸﾞﾘｰﾝ)</t>
  </si>
  <si>
    <t>EA954EA-302</t>
  </si>
  <si>
    <t>916x420x1530mm パーテーション(ｸﾞﾘｰﾝ)</t>
  </si>
  <si>
    <t>EA954EA-322</t>
  </si>
  <si>
    <t>2816x420x1530mm パーテーション(3連/ｸﾞﾘｰﾝ</t>
  </si>
  <si>
    <t>EA954EA-423</t>
  </si>
  <si>
    <t>350-1300x360x1650mm伸縮ｺｰﾅｰﾊﾟｰﾃｰｼｮﾝ(防炎</t>
  </si>
  <si>
    <t>2049</t>
  </si>
  <si>
    <t>EA954EA-142</t>
  </si>
  <si>
    <t>600x500x600mm デスクパーテーション</t>
  </si>
  <si>
    <t>2055</t>
  </si>
  <si>
    <t>EA927-287</t>
  </si>
  <si>
    <t>365x30x270mm インナーケース(撥水/軽量)</t>
  </si>
  <si>
    <t>EA927AN-3C</t>
  </si>
  <si>
    <t>インナーバッグ(～15.6ｲﾝﾁ･ﾉｰﾄPC用)</t>
  </si>
  <si>
    <t>2059</t>
  </si>
  <si>
    <t>EA927TB-7</t>
  </si>
  <si>
    <t>380x 70x290mm ｼｮﾙﾀﾞｰﾊﾞｯｸﾞ(本革製/ﾌﾞﾗｯｸ)</t>
  </si>
  <si>
    <t>EA927-84</t>
  </si>
  <si>
    <t>410x110x320mm ビジネスバッグ</t>
  </si>
  <si>
    <t>EA925M-92</t>
  </si>
  <si>
    <t>370x 60x400mm トートバッグ(ﾃﾞﾆﾑ)</t>
  </si>
  <si>
    <t>EA939AG-6</t>
  </si>
  <si>
    <t>55g 靴クリーム(つや革靴用/黒)</t>
  </si>
  <si>
    <t>EA939AG-41</t>
  </si>
  <si>
    <t>500mm 靴べら</t>
  </si>
  <si>
    <t>EA910S-12</t>
  </si>
  <si>
    <t>[Ｌ] サンダル(抗菌衛生/ﾌﾞﾗｯｸ)</t>
  </si>
  <si>
    <t>EA910S-23</t>
  </si>
  <si>
    <t>[LL] サンダル(抗菌衛生/ﾌﾞﾗｳﾝ)</t>
  </si>
  <si>
    <t>EA910SA-33</t>
  </si>
  <si>
    <t>EA910SW-16</t>
  </si>
  <si>
    <t>[Ｌ] ２ＷＡＹサンダル(ﾁｮｺ)</t>
  </si>
  <si>
    <t>2077</t>
  </si>
  <si>
    <t>EA997RX-172</t>
  </si>
  <si>
    <t>600x 900mm 業務用バスマット</t>
  </si>
  <si>
    <t>2082</t>
  </si>
  <si>
    <t>EA758FK-17</t>
  </si>
  <si>
    <t>[単4x3本] フラッシュライト/LED(ﾏｸﾞﾈｯﾄ付)</t>
  </si>
  <si>
    <t>EA758FH-11</t>
  </si>
  <si>
    <t>[単4x3本] ヘッドライト/ＬＥＤ</t>
  </si>
  <si>
    <t>2093</t>
  </si>
  <si>
    <t>EA758RX-5</t>
  </si>
  <si>
    <t>[単3x3本] ﾍｯﾄﾞﾗｲﾄ/LED(距離ｾﾝｻｰ/白･赤光)</t>
  </si>
  <si>
    <t>2094</t>
  </si>
  <si>
    <t>EA758SE-52</t>
  </si>
  <si>
    <t>[充電式] ＬＥＤヘッドライト</t>
  </si>
  <si>
    <t>2095</t>
  </si>
  <si>
    <t>EA758TJ-1</t>
  </si>
  <si>
    <t>[充電式] ヘッドライト/ＬＥＤ(本体のみ)</t>
  </si>
  <si>
    <t>2097</t>
  </si>
  <si>
    <t>EA758CV-56</t>
  </si>
  <si>
    <t>[単3x3本] ランタン/ＬＥＤ</t>
  </si>
  <si>
    <t>EA758CV-81</t>
  </si>
  <si>
    <t>[充電式] ランタン/ＬＥＤ</t>
  </si>
  <si>
    <t>EA815LD-43</t>
  </si>
  <si>
    <t>AC100V/20W 作業灯/蛍光灯(防滴型/ﾛﾝｸﾞ)</t>
  </si>
  <si>
    <t>EA815LD-96</t>
  </si>
  <si>
    <t>φ50mm 作業灯･ホルダー(ﾏｸﾞﾈｯﾄ付)</t>
  </si>
  <si>
    <t>EA815LD-752</t>
  </si>
  <si>
    <t>AC100V/14W 作業灯/ＬＥＤ(連結式)</t>
  </si>
  <si>
    <t>EA814NA-60</t>
  </si>
  <si>
    <t>[充電式] 作業灯/ＬＥＤ</t>
  </si>
  <si>
    <t>EA814RE-30</t>
  </si>
  <si>
    <t>AC100V/30W 作業灯/ＬＥＤ</t>
  </si>
  <si>
    <t>EA814EC-48</t>
  </si>
  <si>
    <t>[充電式] 20W 作業灯/LED(吊り下げﾌｯｸ付)</t>
  </si>
  <si>
    <t>EA814EC-104</t>
  </si>
  <si>
    <t>三脚用継手</t>
  </si>
  <si>
    <t>2101</t>
  </si>
  <si>
    <t>EA814RE-330</t>
  </si>
  <si>
    <t>AC100V/30Wx2灯 作業灯/ＬＥＤ(ｽﾀﾝﾄﾞ付)</t>
  </si>
  <si>
    <t>2105</t>
  </si>
  <si>
    <t>EA758C-150</t>
  </si>
  <si>
    <t>[単4x3本] ＬＥＤライト(ﾌﾚｷｼﾌﾞﾙ/ﾏｸﾞﾈｯﾄ付)</t>
  </si>
  <si>
    <t>2108</t>
  </si>
  <si>
    <t>EA761XA-71A</t>
  </si>
  <si>
    <t>[USB] 照明スタンド/ＬＥＤ</t>
  </si>
  <si>
    <t>2111</t>
  </si>
  <si>
    <t>EA815LE-71A</t>
  </si>
  <si>
    <t>AC100V/200mA 照明灯/LED</t>
  </si>
  <si>
    <t>2116</t>
  </si>
  <si>
    <t>EA758XY-430A</t>
  </si>
  <si>
    <t>AC110V/270W/E39 電球(ﾚﾌ形･屋外用)</t>
  </si>
  <si>
    <t>EA758ZM-16</t>
  </si>
  <si>
    <t>AC100V/0.5W/E17 ＬＥＤナツメ電球(電球色)</t>
  </si>
  <si>
    <t>2124</t>
  </si>
  <si>
    <t>EA763BB-52</t>
  </si>
  <si>
    <t>ﾎﾟｰﾀﾌﾞﾙｽﾃﾚｵﾚｺｰﾀﾞｰ(AM,FM,CD,CD-R/RW,MP3)</t>
  </si>
  <si>
    <t>EA763BC-35</t>
  </si>
  <si>
    <t>ステレオヘッドホン</t>
  </si>
  <si>
    <t>EA763BC-72</t>
  </si>
  <si>
    <t>1.8m ステレオヘッドホン(ﾈｯｸﾊﾞﾝﾄﾞﾀｲﾌﾟ)</t>
  </si>
  <si>
    <t>EA763AN-9H</t>
  </si>
  <si>
    <t>AC100V/1400W コードレススチームアイロン</t>
  </si>
  <si>
    <t>EA763AP-101</t>
  </si>
  <si>
    <t>AC100V/ 73W(225L) 冷凍庫</t>
  </si>
  <si>
    <t>2127</t>
  </si>
  <si>
    <t>EA763AP-220B</t>
  </si>
  <si>
    <t>AC100V/73W(153L) 冷蔵庫</t>
  </si>
  <si>
    <t>EA763AW-32</t>
  </si>
  <si>
    <t>1.3L 製氷機(卓上小型)</t>
  </si>
  <si>
    <t>EA763AJ-43N</t>
  </si>
  <si>
    <t>5.5合 圧力ＩＨ炊飯ジャー(極め炊き)</t>
  </si>
  <si>
    <t>2131</t>
  </si>
  <si>
    <t>EA763AJ-29G</t>
  </si>
  <si>
    <t>3.0合炊き マイコン炊飯ジャー</t>
  </si>
  <si>
    <t>2134</t>
  </si>
  <si>
    <t>EA763AZ-61J</t>
  </si>
  <si>
    <t>0.48L マグボトル(ｽﾃﾝﾚｽ製/ﾐﾃﾞｨｱﾑｸﾞﾚｰ)</t>
  </si>
  <si>
    <t>2138</t>
  </si>
  <si>
    <t>EA791AA-10</t>
  </si>
  <si>
    <t>アルコール検知器</t>
  </si>
  <si>
    <t>2139</t>
  </si>
  <si>
    <t>EA540LE-7</t>
  </si>
  <si>
    <t>139mm はさみ・精密(鍛造/反り刃)</t>
  </si>
  <si>
    <t>EA540MA-12</t>
  </si>
  <si>
    <t>145mm はさみ・万能(ｽﾃﾝﾚｽ製)</t>
  </si>
  <si>
    <t>EA540MD-1</t>
  </si>
  <si>
    <t>108mm はさみ(精密)</t>
  </si>
  <si>
    <t>EA540EB-3</t>
  </si>
  <si>
    <t>235mm はさみ・万能(ｵﾌｾｯﾄ型/ｽﾃﾝﾚｽ製)</t>
  </si>
  <si>
    <t>EA540HF-6</t>
  </si>
  <si>
    <t>205mm はさみ･万能(ｷﾞｻﾞ刃･ﾊﾞﾈ付･ｱﾝｸﾞﾙﾍｯﾄﾞ</t>
  </si>
  <si>
    <t>2144</t>
  </si>
  <si>
    <t>EA540AL-12</t>
  </si>
  <si>
    <t>245mm 裁ちばさみ(ｽﾃﾝﾚｽ製)</t>
  </si>
  <si>
    <t>EA540HD-6</t>
  </si>
  <si>
    <t>210mm はさみ・裁ち(ｽﾃﾝﾚｽ製)</t>
  </si>
  <si>
    <t>EA540K-8</t>
  </si>
  <si>
    <t>200mm はさみ・クラフト(ｽﾃﾝﾚｽ製)</t>
  </si>
  <si>
    <t>EA540K-85A</t>
  </si>
  <si>
    <t>250mm はさみ・裁ち(ｷﾞｻﾞ刃)</t>
  </si>
  <si>
    <t>EA540K-103</t>
  </si>
  <si>
    <t>250mm はさみ・裁ち</t>
  </si>
  <si>
    <t>EA576LD-10</t>
  </si>
  <si>
    <t>10mm ハトメパンチ</t>
  </si>
  <si>
    <t>EA576LD-12</t>
  </si>
  <si>
    <t>12mm ハトメパンチ</t>
  </si>
  <si>
    <t>EA576MM-32</t>
  </si>
  <si>
    <t>10mm プラスティックハトメ(白/30組)</t>
  </si>
  <si>
    <t>EA944MA-217</t>
  </si>
  <si>
    <t>50mmx 2m ﾏｼﾞｯｸﾃｰﾌﾟ雄･雌ｾｯﾄ(ｱｲﾛﾝ接着/OD色</t>
  </si>
  <si>
    <t>2152</t>
  </si>
  <si>
    <t>EA916JK-81</t>
  </si>
  <si>
    <t>133mm 目打</t>
  </si>
  <si>
    <t>EA628AV-20</t>
  </si>
  <si>
    <t>0.74mmx1000m ナイロン糸(ﾃｸﾞｽ)</t>
  </si>
  <si>
    <t>EA628AW-1.5</t>
  </si>
  <si>
    <t>0.21mmx 600m ナイロン糸(ﾌｯ素樹脂ｺｰﾃｨﾝｸﾞ)</t>
  </si>
  <si>
    <t>EA628AY-111</t>
  </si>
  <si>
    <t>#20x2000m 縫糸(ﾎﾟﾘｴｽﾃﾙ製/黒)</t>
  </si>
  <si>
    <t>EA628AZ-6</t>
  </si>
  <si>
    <t># 0 x150m 縫糸(ﾍﾞｸﾄﾗﾝ製/生成)</t>
  </si>
  <si>
    <t>2156</t>
  </si>
  <si>
    <t>EA979DB-10</t>
  </si>
  <si>
    <t>φ 9.5mm 丸型椅子足キャップ(4個/白)</t>
  </si>
  <si>
    <t>EA951FE-107</t>
  </si>
  <si>
    <t>1100-1900mm 強力伸縮棒</t>
  </si>
  <si>
    <t>EA951FE-55A</t>
  </si>
  <si>
    <t>750-1150x330mm 伸縮突っ張りメッシュ棚</t>
  </si>
  <si>
    <t>EA951FG-62</t>
  </si>
  <si>
    <t>750-1150x270mm 伸縮突っ張り棚</t>
  </si>
  <si>
    <t>2165</t>
  </si>
  <si>
    <t>EA951FE-37</t>
  </si>
  <si>
    <t>300x250x 90mm [ｽﾃﾝﾚｽ製]ネット棚</t>
  </si>
  <si>
    <t>EA951FF-21</t>
  </si>
  <si>
    <t>900x300x200mm 平棚(ｽﾃﾝﾚｽ製)</t>
  </si>
  <si>
    <t>EA944CT-67</t>
  </si>
  <si>
    <t>220mmx 20m クレラップ</t>
  </si>
  <si>
    <t>2168</t>
  </si>
  <si>
    <t>EA912MF-11</t>
  </si>
  <si>
    <t>φ130x42mm 木質ボウル</t>
  </si>
  <si>
    <t>EA912MF-13</t>
  </si>
  <si>
    <t>φ180x57mm 木質ボウル</t>
  </si>
  <si>
    <t>EA912MF-14</t>
  </si>
  <si>
    <t>φ230x71mm 木質ボウル</t>
  </si>
  <si>
    <t>EA912MG-3</t>
  </si>
  <si>
    <t>φ220x35mm 深皿(木製)</t>
  </si>
  <si>
    <t>EA912MH-21</t>
  </si>
  <si>
    <t>380x270mm トレー(木製)</t>
  </si>
  <si>
    <t>EA912JF-1</t>
  </si>
  <si>
    <t>195mm 包丁(ｾﾗﾐｯｸｽ製)</t>
  </si>
  <si>
    <t>EA913VR-23A</t>
  </si>
  <si>
    <t>28cm フライパン(IH対応)</t>
  </si>
  <si>
    <t>EA929AC-51</t>
  </si>
  <si>
    <t>280x235mm ペーパータオル(ｵﾌｨｽ用/70枚)</t>
  </si>
  <si>
    <t>EA929DF-18</t>
  </si>
  <si>
    <t>120x275mm ペーパータオル(47ｶｯﾄ/1ﾛｰﾙ)</t>
  </si>
  <si>
    <t>EA995AD-700</t>
  </si>
  <si>
    <t>ポリ袋ホルダー</t>
  </si>
  <si>
    <t>EA506AB-216</t>
  </si>
  <si>
    <t>165x345x230mm 小物収納ケース</t>
  </si>
  <si>
    <t>2177</t>
  </si>
  <si>
    <t>EA929A-8A</t>
  </si>
  <si>
    <t>ローションティシュ(ｸﾘﾈｯｸｽ/15ﾊﾟｯｸ)</t>
  </si>
  <si>
    <t>EA995AD-262</t>
  </si>
  <si>
    <t>230x340mm 規格ポリ袋(透明/12号/100枚)</t>
  </si>
  <si>
    <t>EA995AD-267</t>
  </si>
  <si>
    <t>360x500mm 規格ポリ袋(透明/17号/100枚)</t>
  </si>
  <si>
    <t>EA995AD-270</t>
  </si>
  <si>
    <t>460x600mm 規格ポリ袋(透明/20号/100枚)</t>
  </si>
  <si>
    <t>2182</t>
  </si>
  <si>
    <t>EA995AD-297</t>
  </si>
  <si>
    <t>650x 800mm/45L ごみ袋(透明/10枚)</t>
  </si>
  <si>
    <t>EA995AD-338</t>
  </si>
  <si>
    <t>550x650mm/20-30L ポリ袋(白半透明/30枚)</t>
  </si>
  <si>
    <t>2185</t>
  </si>
  <si>
    <t>EA995AD-27</t>
  </si>
  <si>
    <t>1000x1000mm 分別ネット袋(緑)</t>
  </si>
  <si>
    <t>2187</t>
  </si>
  <si>
    <t>EA109DZ-27B</t>
  </si>
  <si>
    <t>歯ブラシ(ﾋﾞﾄｲｰﾝ/ｺﾝﾊﾟｸﾄ/ふつう/12本)</t>
  </si>
  <si>
    <t>2188</t>
  </si>
  <si>
    <t>EA916HH-9</t>
  </si>
  <si>
    <t>70mm 爪切り(ささくれ・甘皮切り)</t>
  </si>
  <si>
    <t>2190</t>
  </si>
  <si>
    <t>EA638LF-78</t>
  </si>
  <si>
    <t>120x85x100mm ソープトレー(ﾏｸﾞﾈｯﾄ式)</t>
  </si>
  <si>
    <t>2191</t>
  </si>
  <si>
    <t>EA638LF-68</t>
  </si>
  <si>
    <t>295x270x 90mm 洗面器(ﾎﾜｲﾄ)</t>
  </si>
  <si>
    <t>2198</t>
  </si>
  <si>
    <t>EA922KB-10C</t>
  </si>
  <si>
    <t>880g 衣類用洗剤(ｱﾀｯｸ抗菌EXｽｰﾊﾟｰｸﾘｱｼﾞｪﾙ)</t>
  </si>
  <si>
    <t>EA922KB-15B</t>
  </si>
  <si>
    <t>4.0kg 衣類用洗剤(ｱﾀｯｸ消臭ｽﾄﾛﾝｸﾞ/4個)</t>
  </si>
  <si>
    <t>EA922KN-1</t>
  </si>
  <si>
    <t>150g 衣類用 固形洗剤(ﾗﾝﾄﾞﾘｰｽｸﾗﾊﾞｰ)</t>
  </si>
  <si>
    <t>EA922AJ-291</t>
  </si>
  <si>
    <t>EA922KR-51</t>
  </si>
  <si>
    <t>400ml [業務用]抗ｳｲﾙｽｸﾘｰﾅｰ(ﾒﾃﾞｨﾌﾟﾛ)</t>
  </si>
  <si>
    <t>2202</t>
  </si>
  <si>
    <t>EA341WC-34A</t>
  </si>
  <si>
    <t>120g ブルーレットドボン漂白剤</t>
  </si>
  <si>
    <t>EA922AJ-89</t>
  </si>
  <si>
    <t>40ml トイレクリーナー</t>
  </si>
  <si>
    <t>2209</t>
  </si>
  <si>
    <t>EA941B-15</t>
  </si>
  <si>
    <t>[ 60日用] 蚊・殺虫剤(詰替え/2個)</t>
  </si>
  <si>
    <t>EA941B-137</t>
  </si>
  <si>
    <t>[180日用] 蚊･殺虫剤(詰替え)</t>
  </si>
  <si>
    <t>2212</t>
  </si>
  <si>
    <t>EA941A-77</t>
  </si>
  <si>
    <t>防虫剤(洋服ﾀﾞﾝｽ用/3個)</t>
  </si>
  <si>
    <t>EA941E-21</t>
  </si>
  <si>
    <t>ナメクジ誘引パウダー(5gx10袋)</t>
  </si>
  <si>
    <t>EA944CR-53</t>
  </si>
  <si>
    <t>1500x1000mm 圧縮袋(布団用/ｱﾀﾞﾌﾟﾀ付/1枚)</t>
  </si>
  <si>
    <t>2221</t>
  </si>
  <si>
    <t>EA915ET-31</t>
  </si>
  <si>
    <t>[EA915ET-11B用] フィルターセット</t>
  </si>
  <si>
    <t>EA800EA-51</t>
  </si>
  <si>
    <t>ゴーグル(ｸﾘｱｰ･ｱﾝﾃｨﾌｫｸﾞ)</t>
  </si>
  <si>
    <t>2225</t>
  </si>
  <si>
    <t>EA800AR-127</t>
  </si>
  <si>
    <t>保護めがね(ｽﾓｰｸ)</t>
  </si>
  <si>
    <t>2226</t>
  </si>
  <si>
    <t>EA800AR-106</t>
  </si>
  <si>
    <t>保護めがね(ｸﾘｱｰ)</t>
  </si>
  <si>
    <t>EA800E-11A</t>
  </si>
  <si>
    <t>2230</t>
  </si>
  <si>
    <t>EA800MM-11</t>
  </si>
  <si>
    <t>[DS2] マスク(防塵用/10枚)</t>
  </si>
  <si>
    <t>EA800MM-12</t>
  </si>
  <si>
    <t>[DS2] マスク(防塵用/排気弁付/10枚)</t>
  </si>
  <si>
    <t>EA800MJ-2</t>
  </si>
  <si>
    <t>[N 95] マスク(ﾀﾞｽﾄ＆ﾐｽﾄ用/5枚)</t>
  </si>
  <si>
    <t>EA800MJ-24</t>
  </si>
  <si>
    <t>[N 95] マスク(排気弁付/10枚)</t>
  </si>
  <si>
    <t>2243</t>
  </si>
  <si>
    <t>EA354MA-11</t>
  </si>
  <si>
    <t>[Ｍ/215mm] 手袋(ﾆﾄﾘﾙｺﾞﾑｺｰﾄ/ｸﾞﾚｰ)</t>
  </si>
  <si>
    <t>2247</t>
  </si>
  <si>
    <t>EA354E-15A</t>
  </si>
  <si>
    <t>[Ｍ] 手袋(耐切創･滑り止め/ｹﾌﾞﾗｰ･ｽﾃﾝﾚｽ)</t>
  </si>
  <si>
    <t>EA354E-47</t>
  </si>
  <si>
    <t>[Ｌ] 手袋(耐切創/ｹﾌﾞﾗｰ･ｽﾃﾝﾚｽ糸)</t>
  </si>
  <si>
    <t>EA354BF-71</t>
  </si>
  <si>
    <t>[Ｓ/270mm] 手袋･耐溶剤(ｼﾘｺｰﾝ･化繊裏)</t>
  </si>
  <si>
    <t>EA354BF-73</t>
  </si>
  <si>
    <t>[Ｌ/270mm] 手袋･耐溶剤(ｼﾘｺｰﾝ･化繊裏)</t>
  </si>
  <si>
    <t>EA354BF-74</t>
  </si>
  <si>
    <t>[LL/280mm] 手袋･耐溶剤(ｼﾘｺｰﾝ･化繊裏)</t>
  </si>
  <si>
    <t>2250</t>
  </si>
  <si>
    <t>EA353BJ-108</t>
  </si>
  <si>
    <t>[LL] 手袋(合成革/ｶﾓﾌﾗｰｼﾞｭ)</t>
  </si>
  <si>
    <t>EA353BS-33A</t>
  </si>
  <si>
    <t>[Ｌ] メカニクスグローブ(合成革/黒)</t>
  </si>
  <si>
    <t>EA353BS-123</t>
  </si>
  <si>
    <t>EA353BT-202</t>
  </si>
  <si>
    <t>[Ｍ] メカニクスグローブ(合成革/黒)</t>
  </si>
  <si>
    <t>EA353BW-83</t>
  </si>
  <si>
    <t>2254</t>
  </si>
  <si>
    <t>EA353BY-232</t>
  </si>
  <si>
    <t>[Ｍ] メカニクスグローブ(革/ﾌﾞﾗｳﾝ)</t>
  </si>
  <si>
    <t>EA353BY-234</t>
  </si>
  <si>
    <t>[LL] メカニクスグローブ(革/ﾌﾞﾗｳﾝ)</t>
  </si>
  <si>
    <t>EA353JC-3</t>
  </si>
  <si>
    <t>[LL] 手袋(豚革･迷彩色)</t>
  </si>
  <si>
    <t>2255</t>
  </si>
  <si>
    <t>EA353BE-113</t>
  </si>
  <si>
    <t>[LL] 手袋(牛革)</t>
  </si>
  <si>
    <t>EA353CC-43</t>
  </si>
  <si>
    <t>[LL] 手袋(牛革/OD色)</t>
  </si>
  <si>
    <t>EA353CC-71</t>
  </si>
  <si>
    <t>[Ｍ] 手袋(牛革･裏付)</t>
  </si>
  <si>
    <t>2256</t>
  </si>
  <si>
    <t>EA354AV-42</t>
  </si>
  <si>
    <t>[Ｌ/245mm] 手袋(鹿革)</t>
  </si>
  <si>
    <t>2258</t>
  </si>
  <si>
    <t>EA354AB-177</t>
  </si>
  <si>
    <t>[Ｌ/260mm] 手袋(天然ｺﾞﾑ張り/防臭加工/3双</t>
  </si>
  <si>
    <t>EA354GE-62</t>
  </si>
  <si>
    <t>[Ｌ] 手袋(天然ｺﾞﾑ)</t>
  </si>
  <si>
    <t>2265</t>
  </si>
  <si>
    <t>EA926CE-23</t>
  </si>
  <si>
    <t>[Ｌ]  サポーター(親指用)</t>
  </si>
  <si>
    <t>2267</t>
  </si>
  <si>
    <t>EA926BF-5</t>
  </si>
  <si>
    <t>EA910FA-25</t>
  </si>
  <si>
    <t>25.0cm スニーカー(ﾏｼﾞｯｸ式/ﾌﾞﾗｯｸ)</t>
  </si>
  <si>
    <t>EA998VR-28A</t>
  </si>
  <si>
    <t>28.0cm プロテクティブスニーカー</t>
  </si>
  <si>
    <t>2270</t>
  </si>
  <si>
    <t>EA998TD-25</t>
  </si>
  <si>
    <t>25.0cm 安全靴(防災用/踏抜き防止)</t>
  </si>
  <si>
    <t>EA998WF-23.5</t>
  </si>
  <si>
    <t>23.5cm プロスニーカー(灰･白)</t>
  </si>
  <si>
    <t>EA998WF-24.5</t>
  </si>
  <si>
    <t>24.5cm プロスニーカー(灰･白)</t>
  </si>
  <si>
    <t>EA910ZE-3</t>
  </si>
  <si>
    <t>靴中敷(ﾌﾘｰｻｲｽﾞ/防臭)</t>
  </si>
  <si>
    <t>EA998WA-27.5A</t>
  </si>
  <si>
    <t>27.5cm 安全靴(静電/紺色)</t>
  </si>
  <si>
    <t>EA998WB-25.5A</t>
  </si>
  <si>
    <t>25.5cm 安全靴(静電/白色)</t>
  </si>
  <si>
    <t>EA998WB-26A</t>
  </si>
  <si>
    <t>26.0cm 安全靴(静電/白色)</t>
  </si>
  <si>
    <t>EA998WB-28A</t>
  </si>
  <si>
    <t>28.0cm 安全靴(静電/白色)</t>
  </si>
  <si>
    <t>EA910ML-25.5</t>
  </si>
  <si>
    <t>25.5cm 耐久長靴(耐油底/ｹﾌﾞﾗｰ)</t>
  </si>
  <si>
    <t>EA910MM-25.5</t>
  </si>
  <si>
    <t>25.5cm 長靴(軽量)</t>
  </si>
  <si>
    <t>2274</t>
  </si>
  <si>
    <t>EA996XA-57</t>
  </si>
  <si>
    <t>2082x1473mm ポンチョライナー(OD色)</t>
  </si>
  <si>
    <t>EA996YH-1</t>
  </si>
  <si>
    <t>[ﾌﾘｰ] 使い捨てレインコート</t>
  </si>
  <si>
    <t>EA996XB-42A</t>
  </si>
  <si>
    <t>[Ｌ] 透湿型レインウェアー(ﾈｲﾋﾞｰ)</t>
  </si>
  <si>
    <t>EA996XB-45A</t>
  </si>
  <si>
    <t>[4L] 透湿型レインウェアー(ﾈｲﾋﾞｰ)</t>
  </si>
  <si>
    <t>EA996XM-92</t>
  </si>
  <si>
    <t>[Ｌ] レインウェアー</t>
  </si>
  <si>
    <t>2277</t>
  </si>
  <si>
    <t>EA355AS-3</t>
  </si>
  <si>
    <t>110x100cm エプロン(作業用)</t>
  </si>
  <si>
    <t>2278</t>
  </si>
  <si>
    <t>EA915EA-2</t>
  </si>
  <si>
    <t>[ﾌﾘｰ] 速乾性キャップ(ﾈｲﾋﾞｰ)</t>
  </si>
  <si>
    <t>2283</t>
  </si>
  <si>
    <t>EA915ET-1A</t>
  </si>
  <si>
    <t>送風ファン(風雅ﾎﾞﾃﾞｨ用ﾌﾙｾｯﾄ)</t>
  </si>
  <si>
    <t>EA915GE-18</t>
  </si>
  <si>
    <t>ヘッドバンド(防寒･ﾌﾘｰｽ)</t>
  </si>
  <si>
    <t>EA996AM-132</t>
  </si>
  <si>
    <t>[Ｌ] 空調継ぎ作業服(送風ﾌｧﾝ付/長袖ｸﾞﾚｰ)</t>
  </si>
  <si>
    <t>EA996AM-133</t>
  </si>
  <si>
    <t>[LL] 空調継ぎ作業服(送風ﾌｧﾝ付/長袖ｸﾞﾚｰ)</t>
  </si>
  <si>
    <t>EA915GE-61A</t>
  </si>
  <si>
    <t>フェイスプロテクター(防寒/OD色)</t>
  </si>
  <si>
    <t>EA915GD-181</t>
  </si>
  <si>
    <t>[Ｍ] 防寒ジャケット</t>
  </si>
  <si>
    <t>EA915GM-8</t>
  </si>
  <si>
    <t>[ XL] 防寒服上下セット(Navy)</t>
  </si>
  <si>
    <t>EA915GM-94</t>
  </si>
  <si>
    <t>[ XL] 防寒ロングコート(Navy)</t>
  </si>
  <si>
    <t>EA915GD-342</t>
  </si>
  <si>
    <t>[Ｌ] 防寒ジャケット(軽量)</t>
  </si>
  <si>
    <t>EA915GM-84</t>
  </si>
  <si>
    <t>EA915GF-142</t>
  </si>
  <si>
    <t>[Ｌ] 手袋(防寒-34ﾟC)</t>
  </si>
  <si>
    <t>EA983R-20</t>
  </si>
  <si>
    <t>EA983R-66</t>
  </si>
  <si>
    <t>安全ベスト・ＬＥＤ(黄/黄/ｼｮｰﾄ丈)</t>
  </si>
  <si>
    <t>EA983R-67</t>
  </si>
  <si>
    <t>安全ベスト・ＬＥＤ(紺/白/ｼｮｰﾄ丈)</t>
  </si>
  <si>
    <t>EA983R-74</t>
  </si>
  <si>
    <t>安全ベスト・ＬＥＤ(紺/ｺﾞｰﾙﾄﾞ)</t>
  </si>
  <si>
    <t>EA983R-75</t>
  </si>
  <si>
    <t>安全ベスト・ＬＥＤ(ｵﾚﾝｼﾞ/白)</t>
  </si>
  <si>
    <t>EA983RS-33</t>
  </si>
  <si>
    <t>50mm ｾｰﾌﾃｨｰﾍﾞﾙﾄ(反射ﾃｰﾌﾟ付/ﾈｵﾝｵﾚﾝｼﾞ)</t>
  </si>
  <si>
    <t>2294</t>
  </si>
  <si>
    <t>EA998FF-22</t>
  </si>
  <si>
    <t>墜落制止用器具(ﾌﾙﾊｰﾈｽ/巻取式ﾗﾝﾔｰﾄﾞ付)</t>
  </si>
  <si>
    <t>2299</t>
  </si>
  <si>
    <t>EA998PE-13</t>
  </si>
  <si>
    <t>墜落制止用器具用ﾂｲﾝﾗﾝﾔｰﾄﾞ(衝撃緩和機能付</t>
  </si>
  <si>
    <t>2306</t>
  </si>
  <si>
    <t>EA983RL-1</t>
  </si>
  <si>
    <t>φ18x150mm スティックライト(赤)</t>
  </si>
  <si>
    <t>EA983RL-3</t>
  </si>
  <si>
    <t>φ18x150mm スティックライト(青)</t>
  </si>
  <si>
    <t>EA983RL-4</t>
  </si>
  <si>
    <t>φ18x150mm スティックライト(緑)</t>
  </si>
  <si>
    <t>EA983RM-37</t>
  </si>
  <si>
    <t>φ6.0x50mm ミニスティックライト(赤/5本)</t>
  </si>
  <si>
    <t>2307</t>
  </si>
  <si>
    <t>EA983FR-201</t>
  </si>
  <si>
    <t>誘導灯ホルダー(ﾛﾝｸﾞ)</t>
  </si>
  <si>
    <t>EA983FS-633</t>
  </si>
  <si>
    <t>[単3x4本] ｼｸﾞﾅﾙﾗｲﾄ(LED/点灯･点滅)</t>
  </si>
  <si>
    <t>2309</t>
  </si>
  <si>
    <t>EA983FS-139</t>
  </si>
  <si>
    <t>[ｿｰﾗｰ充電式] ＬＥＤ回転灯(ﾏｸﾞﾈｯﾄ付/緑)</t>
  </si>
  <si>
    <t>EA983FS-144</t>
  </si>
  <si>
    <t>[充電式] ＬＥＤ回転灯(ﾏｸﾞﾈｯﾄ付/緑)</t>
  </si>
  <si>
    <t>2310</t>
  </si>
  <si>
    <t>EA983FT-181</t>
  </si>
  <si>
    <t>245x245x410mm カラーコーン(伸縮式･黄)</t>
  </si>
  <si>
    <t>2311</t>
  </si>
  <si>
    <t>EA983FT-841</t>
  </si>
  <si>
    <t>φ360x700mm 穴あきカラーコーン(ﾚｯﾄﾞ/5本)</t>
  </si>
  <si>
    <t>2313</t>
  </si>
  <si>
    <t>EA983FV-200A</t>
  </si>
  <si>
    <t>1,300-2,150mm 伸縮ガードバー(黄/黒･2本)</t>
  </si>
  <si>
    <t>2316</t>
  </si>
  <si>
    <t>EA983FT-113</t>
  </si>
  <si>
    <t>コーン用ロープ金具(2個)</t>
  </si>
  <si>
    <t>2318</t>
  </si>
  <si>
    <t>EA952BL-2</t>
  </si>
  <si>
    <t>325-2646mm キャスターゲート(伸縮式/ｱﾙﾐ製</t>
  </si>
  <si>
    <t>EA983FT-411</t>
  </si>
  <si>
    <t>550x900mm 方向指示板(折りたたみ式･ｱﾙﾐ製)</t>
  </si>
  <si>
    <t>2321</t>
  </si>
  <si>
    <t>EA940HB-2</t>
  </si>
  <si>
    <t>φ10mmx 5m ケーブルプロテクター(ｱｲﾎﾞﾘｰ)</t>
  </si>
  <si>
    <t>EA766ZJ-2</t>
  </si>
  <si>
    <t>600x470mm 工事用黒板(ｽﾁｰﾙ製)</t>
  </si>
  <si>
    <t>2334</t>
  </si>
  <si>
    <t>EA983AF-95A</t>
  </si>
  <si>
    <t>120x360mm 蓄光避難器具標識</t>
  </si>
  <si>
    <t>2340</t>
  </si>
  <si>
    <t>EA983CC-151</t>
  </si>
  <si>
    <t>280x280mm 安全標識･反射ｽﾃｯｶｰ(頭上注意)</t>
  </si>
  <si>
    <t>EA983CA-5</t>
  </si>
  <si>
    <t>225x100mm ﾏｸﾞﾈｯﾄﾌﾟﾚｰﾄ[点検中始動するな]</t>
  </si>
  <si>
    <t>EA983FE-271</t>
  </si>
  <si>
    <t>100x1000x8mm 反射トラクッション</t>
  </si>
  <si>
    <t>EA983FJ-292</t>
  </si>
  <si>
    <t>200x920mm 反射トラクッション (V溝付)</t>
  </si>
  <si>
    <t>2356</t>
  </si>
  <si>
    <t>EA983FF-62</t>
  </si>
  <si>
    <t>48x18x900mm ｺｰﾅｰｶﾞｰﾄﾞ(油面用/OD/2個)</t>
  </si>
  <si>
    <t>EA983FE-86</t>
  </si>
  <si>
    <t>15x15x400mm クッションガード(蓄光/2本)</t>
  </si>
  <si>
    <t>EA983FF-117</t>
  </si>
  <si>
    <t>17x29x900mm クッションガード(ﾄﾗ/2個)</t>
  </si>
  <si>
    <t>2358</t>
  </si>
  <si>
    <t>EA983FJ-235</t>
  </si>
  <si>
    <t>14x26x1000mm エッジガード(ﾚﾓﾝｲｴﾛｰ)</t>
  </si>
  <si>
    <t>EA983GF-90L</t>
  </si>
  <si>
    <t>90mmx 9m 蛍光粘着テープ(ﾚﾓﾝ)</t>
  </si>
  <si>
    <t>2370</t>
  </si>
  <si>
    <t>EA864CD-551</t>
  </si>
  <si>
    <t>ネットワークカメラセット(屋外用)</t>
  </si>
  <si>
    <t>EA864CD-571</t>
  </si>
  <si>
    <t>ﾈｯﾄﾜｰｸｶﾒﾗ用ビデオレコーダー(PoE給電)</t>
  </si>
  <si>
    <t>2371</t>
  </si>
  <si>
    <t>EA864CD-201F</t>
  </si>
  <si>
    <t>デジタルビデオレコーダー(ﾓﾆﾀｰ付)</t>
  </si>
  <si>
    <t>EA864CD-205D</t>
  </si>
  <si>
    <t>[22型]液晶モニター</t>
  </si>
  <si>
    <t>EA864CD-622</t>
  </si>
  <si>
    <t>防犯カメラ(屋外用)</t>
  </si>
  <si>
    <t>2377</t>
  </si>
  <si>
    <t>EA864CA-38B</t>
  </si>
  <si>
    <t>[AC100V/ 9Wx1] ＬＥＤセンサーライト</t>
  </si>
  <si>
    <t>EA761XT-11</t>
  </si>
  <si>
    <t>[単4x4本] ＬＥＤライト(地震感知式)</t>
  </si>
  <si>
    <t>2382</t>
  </si>
  <si>
    <t>EA983SA-1</t>
  </si>
  <si>
    <t>20mm パドロック(2個組/同一ｷｰ)</t>
  </si>
  <si>
    <t>2383</t>
  </si>
  <si>
    <t>EA983SG-36</t>
  </si>
  <si>
    <t>60mm シリンダー南京錠(63mm吊長)</t>
  </si>
  <si>
    <t>2385</t>
  </si>
  <si>
    <t>EA983S-7A</t>
  </si>
  <si>
    <t>84mm ダイアル錠</t>
  </si>
  <si>
    <t>2389</t>
  </si>
  <si>
    <t>EA916ZL-46</t>
  </si>
  <si>
    <t>７本用 キーキャリー(900mm ｹﾌﾞﾗｰｺｰﾄﾞ)</t>
  </si>
  <si>
    <t>2390</t>
  </si>
  <si>
    <t>EA916ZL-49</t>
  </si>
  <si>
    <t>65mm キーキャリー(5連ﾘﾝｸﾞ)</t>
  </si>
  <si>
    <t>EA916ZL-60</t>
  </si>
  <si>
    <t>105mm キーキャリー(ｽﾅｯﾌﾟ付)</t>
  </si>
  <si>
    <t>EA916ZD-101</t>
  </si>
  <si>
    <t>125mm キーホルダー(本革/ﾀﾝ)</t>
  </si>
  <si>
    <t>2392</t>
  </si>
  <si>
    <t>EA638JK-18</t>
  </si>
  <si>
    <t>45x28mm カラビナ(ｱﾙﾐ製/2個)</t>
  </si>
  <si>
    <t>EA916ZC-46A</t>
  </si>
  <si>
    <t>3.2x100mm キーチェーン(ｽﾃﾝﾚｽ製･5本)</t>
  </si>
  <si>
    <t>EA591HC-51A</t>
  </si>
  <si>
    <t>25mm    タグブランク(ｱﾙﾐ角/ｸﾞﾘｰﾝ/5枚)</t>
  </si>
  <si>
    <t>EA591HD-13</t>
  </si>
  <si>
    <t>19x44mm タグブランク(真鍮 長四角/10枚)</t>
  </si>
  <si>
    <t>EA591HK-12</t>
  </si>
  <si>
    <t>31.7mm タグブランク(真鍮 八角/10枚)</t>
  </si>
  <si>
    <t>EA864CL-1</t>
  </si>
  <si>
    <t>[CR2032x2個] 水漏れ報知器</t>
  </si>
  <si>
    <t>EA999MG-10</t>
  </si>
  <si>
    <t>3.5kg 蓄圧式ＡＢＣ消火器</t>
  </si>
  <si>
    <t>2410</t>
  </si>
  <si>
    <t>EA951FC-52</t>
  </si>
  <si>
    <t>532x190x200mm 消火器ボックス</t>
  </si>
  <si>
    <t>2413</t>
  </si>
  <si>
    <t>EA913VL-151</t>
  </si>
  <si>
    <t>10L 非常用給水袋(5枚)</t>
  </si>
  <si>
    <t>2418</t>
  </si>
  <si>
    <t>EA724ZW-10</t>
  </si>
  <si>
    <t>1200x570mm 平面ミラー</t>
  </si>
  <si>
    <t>2420</t>
  </si>
  <si>
    <t>EA724YG-86</t>
  </si>
  <si>
    <t>155x455mm 吊り下げ型ミラー(飛散防止)</t>
  </si>
  <si>
    <t>EA928AB-2S</t>
  </si>
  <si>
    <t>370mm ダスターモップ(1本)</t>
  </si>
  <si>
    <t>2436</t>
  </si>
  <si>
    <t>EA928AS-78</t>
  </si>
  <si>
    <t>165x970mm 高耐久性ﾏｲｸﾛﾌｧｲﾊﾞｰｸﾛｽ(50枚)</t>
  </si>
  <si>
    <t>2437</t>
  </si>
  <si>
    <t>EA928AB-301A</t>
  </si>
  <si>
    <t>240x1395mm 水拭きモップ</t>
  </si>
  <si>
    <t>2442</t>
  </si>
  <si>
    <t>EA928AD-172</t>
  </si>
  <si>
    <t>[EA928AD-171用] 替ほうき</t>
  </si>
  <si>
    <t>EA928CC-39S</t>
  </si>
  <si>
    <t>280x1100-1750mm ﾃﾞｯｷﾌﾞﾗｼ(通水伸縮/2本)</t>
  </si>
  <si>
    <t>2450</t>
  </si>
  <si>
    <t>EA928BM-613</t>
  </si>
  <si>
    <t>275mm [通水型]ブラシヘッド(ｶｰﾌﾞ)</t>
  </si>
  <si>
    <t>2451</t>
  </si>
  <si>
    <t>EA928BG-43</t>
  </si>
  <si>
    <t>350mm/2.2-5.5m ウィンドウウォッシャー</t>
  </si>
  <si>
    <t>2454</t>
  </si>
  <si>
    <t>EA928CA-5</t>
  </si>
  <si>
    <t>450mm 水切りワイパー(5本)</t>
  </si>
  <si>
    <t>EA929DW-21</t>
  </si>
  <si>
    <t>510x510mm ﾏｲｸﾛﾌｧｲﾊﾞｰｸﾛｽ(極細繊維/2枚)</t>
  </si>
  <si>
    <t>2462</t>
  </si>
  <si>
    <t>EA995A-157</t>
  </si>
  <si>
    <t>6L ダストボックス(ﾍﾟﾀﾞﾙ開閉型･ｽﾃﾝﾚｽ製)</t>
  </si>
  <si>
    <t>EA995CD-16</t>
  </si>
  <si>
    <t>47L ダストボックスふた付(一般ｺﾞﾐ/ﾌﾞﾗｳﾝ)</t>
  </si>
  <si>
    <t>EA995CD-18</t>
  </si>
  <si>
    <t>47L ダストボックスふた付(もえるｺﾞﾐ/ﾚｯﾄﾞ</t>
  </si>
  <si>
    <t>2467</t>
  </si>
  <si>
    <t>EA954LB-41</t>
  </si>
  <si>
    <t>300x230x435mm ダンボールストッカー</t>
  </si>
  <si>
    <t>2470</t>
  </si>
  <si>
    <t>EA925M-82</t>
  </si>
  <si>
    <t>φ550x700mm/166L 自立型ﾊﾞｹﾂ(ﾌﾀ付/迷彩)</t>
  </si>
  <si>
    <t>EA899AJ-60C</t>
  </si>
  <si>
    <t>DC10.8V ハンディクリーナー(白)</t>
  </si>
  <si>
    <t>EA899AZ-1</t>
  </si>
  <si>
    <t>DC18V ハンディクリーナー(充電式)</t>
  </si>
  <si>
    <t>EA899AH-36G</t>
  </si>
  <si>
    <t>2477</t>
  </si>
  <si>
    <t>EA899AV-2</t>
  </si>
  <si>
    <t>AC100V/1100W/10.0L 乾湿両用掃除機</t>
  </si>
  <si>
    <t>EA899KS-72</t>
  </si>
  <si>
    <t>DC36.0V/6.0Ah 交換用ﾊﾞｯﾃﾘｰ(ﾘﾁｳﾑｲｵﾝ電池)</t>
  </si>
  <si>
    <t>2479</t>
  </si>
  <si>
    <t>EA899HS-3B</t>
  </si>
  <si>
    <t>AC100V/1140W/15.0L 乾湿両用掃除機</t>
  </si>
  <si>
    <t>2486</t>
  </si>
  <si>
    <t>EA897BB-13A</t>
  </si>
  <si>
    <t>エンジン式ブロワ</t>
  </si>
  <si>
    <t>2510</t>
  </si>
  <si>
    <t>EA913LC-1A</t>
  </si>
  <si>
    <t>φ170x218mm 火消し壷</t>
  </si>
  <si>
    <t>2511</t>
  </si>
  <si>
    <t>EA913VH-22</t>
  </si>
  <si>
    <t>[６点組]鍋･皿セット(ｽﾃﾝﾚｽ製)</t>
  </si>
  <si>
    <t>2513</t>
  </si>
  <si>
    <t>EA913VL-133</t>
  </si>
  <si>
    <t>20L ウォータータンク(抗菌)</t>
  </si>
  <si>
    <t>EA917AE-3A</t>
  </si>
  <si>
    <t>914x533x516mm/66L クーラーボックス</t>
  </si>
  <si>
    <t>EA917AE-6</t>
  </si>
  <si>
    <t>外寸1089x527x514mm/容量76L ｸｰﾗｰﾎﾞｯｸｽ</t>
  </si>
  <si>
    <t>EA917AK-48B</t>
  </si>
  <si>
    <t>765x350x360mm/48L クーラーボックス</t>
  </si>
  <si>
    <t>2516</t>
  </si>
  <si>
    <t>EA927AM-29</t>
  </si>
  <si>
    <t>340x300x340mm 保冷バッグ</t>
  </si>
  <si>
    <t>2518</t>
  </si>
  <si>
    <t>EA916-1</t>
  </si>
  <si>
    <t>アーミーナイフ(ﾁｬﾝﾌﾟ)</t>
  </si>
  <si>
    <t>EA916-2A</t>
  </si>
  <si>
    <t>アーミーナイフ(ｹｰｽ付)</t>
  </si>
  <si>
    <t>EA912-52</t>
  </si>
  <si>
    <t>500x470mm カーテン(車用/L/2枚入)</t>
  </si>
  <si>
    <t>2528</t>
  </si>
  <si>
    <t>EA919SP-100</t>
  </si>
  <si>
    <t>手押しポンプ用替針</t>
  </si>
  <si>
    <t>2529</t>
  </si>
  <si>
    <t>EA573XY-21</t>
  </si>
  <si>
    <t>14x15mm 自転車用ﾗﾁｪｯﾄﾚﾝﾁ(ﾊﾌﾞﾅｯﾄ/ｸﾗﾝｸ用)</t>
  </si>
  <si>
    <t>2532</t>
  </si>
  <si>
    <t>EA997Z-52A</t>
  </si>
  <si>
    <t>600x400mm 吸水土のう(白/5枚)</t>
  </si>
  <si>
    <t>EA650BG-74B</t>
  </si>
  <si>
    <t>580x710mm/1320mm スノーダンプ(2台)</t>
  </si>
  <si>
    <t>EA928AG-601</t>
  </si>
  <si>
    <t>3.9m 雪落し(ひさし･軒先用)</t>
  </si>
  <si>
    <t>2537</t>
  </si>
  <si>
    <t>EA650AD-11</t>
  </si>
  <si>
    <t>343x457mm/1168mm ショベル(アルミ/木柄)</t>
  </si>
  <si>
    <t>EA650AD-12</t>
  </si>
  <si>
    <t>381x508mm/1245mm ショベル(ｱﾙﾐ/ﾌｧｲﾊﾞｰG柄)</t>
  </si>
  <si>
    <t>2539</t>
  </si>
  <si>
    <t>EA650BF-9</t>
  </si>
  <si>
    <t>[ﾍｯﾄﾞ交換式] 片手鍬(ﾍｯﾄﾞ3枚組)</t>
  </si>
  <si>
    <t>EA650CB-13</t>
  </si>
  <si>
    <t>2.3kg/ 915mm マトック</t>
  </si>
  <si>
    <t>2542</t>
  </si>
  <si>
    <t>EA650BF-14</t>
  </si>
  <si>
    <t>360mm 片手鍬(幅広/ｽﾃﾝﾚｽ製)</t>
  </si>
  <si>
    <t>2545</t>
  </si>
  <si>
    <t>EA928AD-78</t>
  </si>
  <si>
    <t>400x450x150mm 鉄箕</t>
  </si>
  <si>
    <t>2547</t>
  </si>
  <si>
    <t>EA898CA-2C</t>
  </si>
  <si>
    <t>300mm チェーンソー(電動)</t>
  </si>
  <si>
    <t>EA898CK-11</t>
  </si>
  <si>
    <t>175mm/DC18V チェーンソー</t>
  </si>
  <si>
    <t>EA898CK-12</t>
  </si>
  <si>
    <t>[EA898CK-11用] チェーンソー替刃</t>
  </si>
  <si>
    <t>EA898CZ-16</t>
  </si>
  <si>
    <t>[EA898CG-1用] 250mm チェーンソー替刃</t>
  </si>
  <si>
    <t>2554</t>
  </si>
  <si>
    <t>EA650AR-3</t>
  </si>
  <si>
    <t>2100mm 高枝鋏(刃長63.5mm)</t>
  </si>
  <si>
    <t>2560</t>
  </si>
  <si>
    <t>EA650BA-3</t>
  </si>
  <si>
    <t>50mm/ 195mm 小鎌</t>
  </si>
  <si>
    <t>2561</t>
  </si>
  <si>
    <t>EA650BA-83</t>
  </si>
  <si>
    <t>180mm/ 405mm 枝打鎌(両刃)</t>
  </si>
  <si>
    <t>2563</t>
  </si>
  <si>
    <t>EA650BB-43</t>
  </si>
  <si>
    <t>410mm/1350mm ナタ鎌(長柄)</t>
  </si>
  <si>
    <t>2566</t>
  </si>
  <si>
    <t>EA898B-75</t>
  </si>
  <si>
    <t>255mm/120T 超硬チップソー(飛石低減型)</t>
  </si>
  <si>
    <t>EA898RC-100</t>
  </si>
  <si>
    <t>草刈機用肩掛ベルト</t>
  </si>
  <si>
    <t>2571</t>
  </si>
  <si>
    <t>EA898BR-4A</t>
  </si>
  <si>
    <t>230mm/AC100V/460W 芝刈機(電動)</t>
  </si>
  <si>
    <t>2575</t>
  </si>
  <si>
    <t>EA124LV-13</t>
  </si>
  <si>
    <t>Rc 2 "/   50A 散水栓(90ﾟ)</t>
  </si>
  <si>
    <t>2581</t>
  </si>
  <si>
    <t>EA124LT-10</t>
  </si>
  <si>
    <t>15/20mmx10m 潅水ホース</t>
  </si>
  <si>
    <t>2587</t>
  </si>
  <si>
    <t>EA941-92</t>
  </si>
  <si>
    <t>420mlカラスガード</t>
  </si>
  <si>
    <t>EA628ZZ-34</t>
  </si>
  <si>
    <t>φ 8x1500mm ネット用支柱(ｲﾎﾞ付/5本)</t>
  </si>
  <si>
    <t>EA628ZZ-44B</t>
  </si>
  <si>
    <t>φ11x1800mm  ネット用支柱(ｲﾎﾞ付/25本)</t>
  </si>
  <si>
    <t>EA628ZZ-52A</t>
  </si>
  <si>
    <t>φ16x1200mm ネット用支柱(ｲﾎﾞ付/20本)</t>
  </si>
  <si>
    <t>EA628ZZ-62A</t>
  </si>
  <si>
    <t>φ20x1500mm ネット用支柱(ｲﾎﾞ付/20本)</t>
  </si>
  <si>
    <t>2594</t>
  </si>
  <si>
    <t>EA864AN-2</t>
  </si>
  <si>
    <t>100m 動物撃退セット(電気柵)</t>
  </si>
  <si>
    <t>*但し、下記商品は2025年4月現在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</si>
</sst>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/>
    <xf numFmtId="0" fontId="5" fillId="0" borderId="0"/>
  </cellStyleXfs>
  <cellXfs count="12">
    <xf numFmtId="0" fontId="0" fillId="0" borderId="0" xfId="0"/>
    <xf numFmtId="0" fontId="2" fillId="0" borderId="0" xfId="12"/>
    <xf numFmtId="55" fontId="2" fillId="0" borderId="0" xfId="12" applyNumberFormat="1"/>
    <xf numFmtId="0" fontId="2" fillId="0" borderId="0" xfId="12" applyAlignment="1">
      <alignment horizontal="right"/>
    </xf>
    <xf numFmtId="0" fontId="4" fillId="0" borderId="0" xfId="12" applyFont="1"/>
    <xf numFmtId="0" fontId="8" fillId="0" borderId="1" xfId="1" applyFill="1" applyBorder="1" applyAlignment="1" applyProtection="1">
      <alignment vertical="center"/>
    </xf>
    <xf numFmtId="0" fontId="0" fillId="0" borderId="1" xfId="0" applyBorder="1"/>
    <xf numFmtId="0" fontId="2" fillId="0" borderId="2" xfId="12" applyBorder="1" applyAlignment="1">
      <alignment horizontal="distributed"/>
    </xf>
    <xf numFmtId="0" fontId="6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6" fillId="2" borderId="1" xfId="13" applyFont="1" applyFill="1" applyBorder="1" applyAlignment="1">
      <alignment horizontal="center" wrapText="1"/>
    </xf>
    <xf numFmtId="0" fontId="6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77"/>
  <sheetViews>
    <sheetView tabSelected="1" defaultGridColor="0" colorId="8" zoomScaleNormal="100" zoomScaleSheetLayoutView="100" workbookViewId="0">
      <selection sqref="A1:B1"/>
    </sheetView>
  </sheetViews>
  <sheetFormatPr defaultRowHeight="13.5" x14ac:dyDescent="0.15"/>
  <cols>
    <col min="1" max="1" width="2.375" customWidth="1"/>
    <col min="2" max="2" width="10.125" customWidth="1"/>
    <col min="3" max="3" width="15.75" customWidth="1"/>
    <col min="4" max="4" width="45" customWidth="1"/>
    <col min="5" max="5" width="15.875" customWidth="1"/>
  </cols>
  <sheetData>
    <row r="1" spans="1:6" s="1" customFormat="1" ht="12" x14ac:dyDescent="0.15">
      <c r="A1" s="7" t="s">
        <v>3</v>
      </c>
      <c r="B1" s="7"/>
      <c r="E1" s="2">
        <v>45748</v>
      </c>
      <c r="F1" s="2"/>
    </row>
    <row r="2" spans="1:6" s="1" customFormat="1" ht="12" x14ac:dyDescent="0.15">
      <c r="E2" s="3" t="s">
        <v>4</v>
      </c>
      <c r="F2" s="3"/>
    </row>
    <row r="3" spans="1:6" s="1" customFormat="1" ht="12" x14ac:dyDescent="0.15"/>
    <row r="4" spans="1:6" s="1" customFormat="1" ht="12" x14ac:dyDescent="0.15">
      <c r="A4" s="1" t="s">
        <v>5</v>
      </c>
    </row>
    <row r="5" spans="1:6" s="1" customFormat="1" ht="12" x14ac:dyDescent="0.15">
      <c r="A5" s="1" t="s">
        <v>6</v>
      </c>
    </row>
    <row r="6" spans="1:6" s="1" customFormat="1" ht="12" x14ac:dyDescent="0.15">
      <c r="A6" s="1" t="s">
        <v>7</v>
      </c>
    </row>
    <row r="7" spans="1:6" s="1" customFormat="1" ht="12" x14ac:dyDescent="0.15">
      <c r="A7" s="1" t="s">
        <v>8</v>
      </c>
    </row>
    <row r="8" spans="1:6" s="1" customFormat="1" ht="12" x14ac:dyDescent="0.15">
      <c r="B8" s="4" t="s">
        <v>3496</v>
      </c>
    </row>
    <row r="9" spans="1:6" s="1" customFormat="1" ht="12" x14ac:dyDescent="0.15"/>
    <row r="10" spans="1:6" s="1" customFormat="1" ht="12" x14ac:dyDescent="0.15">
      <c r="B10" s="10" t="s">
        <v>75</v>
      </c>
      <c r="C10" s="8" t="s">
        <v>0</v>
      </c>
      <c r="D10" s="8" t="s">
        <v>1</v>
      </c>
      <c r="E10" s="8" t="s">
        <v>2</v>
      </c>
    </row>
    <row r="11" spans="1:6" s="1" customFormat="1" ht="12" x14ac:dyDescent="0.15">
      <c r="B11" s="11"/>
      <c r="C11" s="9"/>
      <c r="D11" s="9"/>
      <c r="E11" s="9"/>
    </row>
    <row r="12" spans="1:6" x14ac:dyDescent="0.15">
      <c r="B12" s="6"/>
      <c r="C12" s="6" t="s">
        <v>316</v>
      </c>
      <c r="D12" s="6" t="s">
        <v>317</v>
      </c>
      <c r="E12" s="5"/>
    </row>
    <row r="13" spans="1:6" x14ac:dyDescent="0.15">
      <c r="B13" s="6"/>
      <c r="C13" s="6" t="s">
        <v>318</v>
      </c>
      <c r="D13" s="6" t="s">
        <v>171</v>
      </c>
      <c r="E13" s="5" t="str">
        <f>HYPERLINK("https://www.esco-net.com/wcs/escort/ec/detail?hHinCd=EA521TV-200B","EA521TV-200B")</f>
        <v>EA521TV-200B</v>
      </c>
    </row>
    <row r="14" spans="1:6" x14ac:dyDescent="0.15">
      <c r="B14" s="6"/>
      <c r="C14" s="6" t="s">
        <v>319</v>
      </c>
      <c r="D14" s="6" t="s">
        <v>320</v>
      </c>
      <c r="E14" s="5" t="str">
        <f>HYPERLINK("https://www.esco-net.com/wcs/escort/ec/detail?hHinCd=EA611AJ-7","EA611AJ-7")</f>
        <v>EA611AJ-7</v>
      </c>
    </row>
    <row r="15" spans="1:6" x14ac:dyDescent="0.15">
      <c r="B15" s="6"/>
      <c r="C15" s="6" t="s">
        <v>321</v>
      </c>
      <c r="D15" s="6" t="s">
        <v>322</v>
      </c>
      <c r="E15" s="5" t="str">
        <f>HYPERLINK("https://www.esco-net.com/wcs/escort/ec/detail?hHinCd=EA611GA-151","EA611GA-151")</f>
        <v>EA611GA-151</v>
      </c>
    </row>
    <row r="16" spans="1:6" x14ac:dyDescent="0.15">
      <c r="B16" s="6"/>
      <c r="C16" s="6" t="s">
        <v>323</v>
      </c>
      <c r="D16" s="6" t="s">
        <v>324</v>
      </c>
      <c r="E16" s="5" t="str">
        <f>HYPERLINK("https://www.esco-net.com/wcs/escort/ec/detail?hHinCd=EA612AB-119","EA612AB-119")</f>
        <v>EA612AB-119</v>
      </c>
    </row>
    <row r="17" spans="2:5" x14ac:dyDescent="0.15">
      <c r="B17" s="6"/>
      <c r="C17" s="6" t="s">
        <v>325</v>
      </c>
      <c r="D17" s="6" t="s">
        <v>326</v>
      </c>
      <c r="E17" s="5" t="str">
        <f>HYPERLINK("https://www.esco-net.com/wcs/escort/ec/detail?hHinCd=EA684RB-8","EA684RB-8")</f>
        <v>EA684RB-8</v>
      </c>
    </row>
    <row r="18" spans="2:5" x14ac:dyDescent="0.15">
      <c r="B18" s="6"/>
      <c r="C18" s="6" t="s">
        <v>327</v>
      </c>
      <c r="D18" s="6" t="s">
        <v>328</v>
      </c>
      <c r="E18" s="5" t="str">
        <f>HYPERLINK("https://www.esco-net.com/wcs/escort/ec/detail?hHinCd=EA614CB-10","EA614CB-10")</f>
        <v>EA614CB-10</v>
      </c>
    </row>
    <row r="19" spans="2:5" x14ac:dyDescent="0.15">
      <c r="B19" s="6"/>
      <c r="C19" s="6" t="s">
        <v>329</v>
      </c>
      <c r="D19" s="6" t="s">
        <v>330</v>
      </c>
      <c r="E19" s="5" t="str">
        <f>HYPERLINK("https://www.esco-net.com/wcs/escort/ec/detail?hHinCd=EA614CB-13","EA614CB-13")</f>
        <v>EA614CB-13</v>
      </c>
    </row>
    <row r="20" spans="2:5" x14ac:dyDescent="0.15">
      <c r="B20" s="6"/>
      <c r="C20" s="6" t="s">
        <v>331</v>
      </c>
      <c r="D20" s="6" t="s">
        <v>332</v>
      </c>
      <c r="E20" s="5" t="str">
        <f>HYPERLINK("https://www.esco-net.com/wcs/escort/ec/detail?hHinCd=EA579DA-8","EA579DA-8")</f>
        <v>EA579DA-8</v>
      </c>
    </row>
    <row r="21" spans="2:5" x14ac:dyDescent="0.15">
      <c r="B21" s="6"/>
      <c r="C21" s="6" t="s">
        <v>333</v>
      </c>
      <c r="D21" s="6" t="s">
        <v>334</v>
      </c>
      <c r="E21" s="5" t="str">
        <f>HYPERLINK("https://www.esco-net.com/wcs/escort/ec/detail?hHinCd=EA689SV-1A","EA689SV-1A")</f>
        <v>EA689SV-1A</v>
      </c>
    </row>
    <row r="22" spans="2:5" x14ac:dyDescent="0.15">
      <c r="B22" s="6"/>
      <c r="C22" s="6" t="s">
        <v>335</v>
      </c>
      <c r="D22" s="6" t="s">
        <v>336</v>
      </c>
      <c r="E22" s="5" t="str">
        <f>HYPERLINK("https://www.esco-net.com/wcs/escort/ec/detail?hHinCd=EA689SZ-1A","EA689SZ-1A")</f>
        <v>EA689SZ-1A</v>
      </c>
    </row>
    <row r="23" spans="2:5" x14ac:dyDescent="0.15">
      <c r="B23" s="6"/>
      <c r="C23" s="6" t="s">
        <v>337</v>
      </c>
      <c r="D23" s="6" t="s">
        <v>338</v>
      </c>
      <c r="E23" s="5"/>
    </row>
    <row r="24" spans="2:5" x14ac:dyDescent="0.15">
      <c r="B24" s="6"/>
      <c r="C24" s="6" t="s">
        <v>339</v>
      </c>
      <c r="D24" s="6" t="s">
        <v>340</v>
      </c>
      <c r="E24" s="5"/>
    </row>
    <row r="25" spans="2:5" x14ac:dyDescent="0.15">
      <c r="B25" s="6"/>
      <c r="C25" s="6" t="s">
        <v>341</v>
      </c>
      <c r="D25" s="6" t="s">
        <v>342</v>
      </c>
      <c r="E25" s="5"/>
    </row>
    <row r="26" spans="2:5" x14ac:dyDescent="0.15">
      <c r="B26" s="6"/>
      <c r="C26" s="6" t="s">
        <v>343</v>
      </c>
      <c r="D26" s="6" t="s">
        <v>344</v>
      </c>
      <c r="E26" s="5" t="str">
        <f>HYPERLINK("https://www.esco-net.com/wcs/escort/ec/detail?hHinCd=EA759X-50A","EA759X-50A")</f>
        <v>EA759X-50A</v>
      </c>
    </row>
    <row r="27" spans="2:5" x14ac:dyDescent="0.15">
      <c r="B27" s="6"/>
      <c r="C27" s="6" t="s">
        <v>345</v>
      </c>
      <c r="D27" s="6" t="s">
        <v>346</v>
      </c>
      <c r="E27" s="5" t="str">
        <f>HYPERLINK("https://www.esco-net.com/wcs/escort/ec/detail?hHinCd=EA763AG-43A","EA763AG-43A")</f>
        <v>EA763AG-43A</v>
      </c>
    </row>
    <row r="28" spans="2:5" x14ac:dyDescent="0.15">
      <c r="B28" s="6"/>
      <c r="C28" s="6" t="s">
        <v>347</v>
      </c>
      <c r="D28" s="6" t="s">
        <v>348</v>
      </c>
      <c r="E28" s="5" t="str">
        <f>HYPERLINK("https://www.esco-net.com/wcs/escort/ec/detail?hHinCd=EA763AM-18T","EA763AM-18T")</f>
        <v>EA763AM-18T</v>
      </c>
    </row>
    <row r="29" spans="2:5" x14ac:dyDescent="0.15">
      <c r="B29" s="6"/>
      <c r="C29" s="6" t="s">
        <v>349</v>
      </c>
      <c r="D29" s="6" t="s">
        <v>350</v>
      </c>
      <c r="E29" s="5"/>
    </row>
    <row r="30" spans="2:5" x14ac:dyDescent="0.15">
      <c r="B30" s="6"/>
      <c r="C30" s="6" t="s">
        <v>351</v>
      </c>
      <c r="D30" s="6" t="s">
        <v>352</v>
      </c>
      <c r="E30" s="5" t="str">
        <f>HYPERLINK("https://www.esco-net.com/wcs/escort/ec/detail?hHinCd=EA896B-12B","EA896B-12B")</f>
        <v>EA896B-12B</v>
      </c>
    </row>
    <row r="31" spans="2:5" x14ac:dyDescent="0.15">
      <c r="B31" s="6"/>
      <c r="C31" s="6" t="s">
        <v>353</v>
      </c>
      <c r="D31" s="6" t="s">
        <v>354</v>
      </c>
      <c r="E31" s="5"/>
    </row>
    <row r="32" spans="2:5" x14ac:dyDescent="0.15">
      <c r="B32" s="6"/>
      <c r="C32" s="6" t="s">
        <v>355</v>
      </c>
      <c r="D32" s="6" t="s">
        <v>356</v>
      </c>
      <c r="E32" s="5"/>
    </row>
    <row r="33" spans="2:5" x14ac:dyDescent="0.15">
      <c r="B33" s="6" t="s">
        <v>24</v>
      </c>
      <c r="C33" s="6" t="s">
        <v>357</v>
      </c>
      <c r="D33" s="6" t="s">
        <v>358</v>
      </c>
      <c r="E33" s="5" t="str">
        <f>HYPERLINK("https://www.esco-net.com/wcs/escort/ec/detail?hHinCd=EA612SB-38E","EA612SB-38E")</f>
        <v>EA612SB-38E</v>
      </c>
    </row>
    <row r="34" spans="2:5" x14ac:dyDescent="0.15">
      <c r="B34" s="6" t="s">
        <v>359</v>
      </c>
      <c r="C34" s="6" t="s">
        <v>360</v>
      </c>
      <c r="D34" s="6" t="s">
        <v>361</v>
      </c>
      <c r="E34" s="5" t="str">
        <f>HYPERLINK("https://www.esco-net.com/wcs/escort/ec/detail?hHinCd=EA202RC","EA202RC")</f>
        <v>EA202RC</v>
      </c>
    </row>
    <row r="35" spans="2:5" x14ac:dyDescent="0.15">
      <c r="B35" s="6" t="s">
        <v>362</v>
      </c>
      <c r="C35" s="6" t="s">
        <v>363</v>
      </c>
      <c r="D35" s="6" t="s">
        <v>364</v>
      </c>
      <c r="E35" s="5" t="str">
        <f>HYPERLINK("https://www.esco-net.com/wcs/escort/ec/detail?hHinCd=EA401D-23","EA401D-23")</f>
        <v>EA401D-23</v>
      </c>
    </row>
    <row r="36" spans="2:5" x14ac:dyDescent="0.15">
      <c r="B36" s="6" t="s">
        <v>362</v>
      </c>
      <c r="C36" s="6" t="s">
        <v>365</v>
      </c>
      <c r="D36" s="6" t="s">
        <v>366</v>
      </c>
      <c r="E36" s="5"/>
    </row>
    <row r="37" spans="2:5" x14ac:dyDescent="0.15">
      <c r="B37" s="6" t="s">
        <v>367</v>
      </c>
      <c r="C37" s="6" t="s">
        <v>368</v>
      </c>
      <c r="D37" s="6" t="s">
        <v>369</v>
      </c>
      <c r="E37" s="5"/>
    </row>
    <row r="38" spans="2:5" x14ac:dyDescent="0.15">
      <c r="B38" s="6" t="s">
        <v>25</v>
      </c>
      <c r="C38" s="6" t="s">
        <v>370</v>
      </c>
      <c r="D38" s="6" t="s">
        <v>371</v>
      </c>
      <c r="E38" s="5" t="str">
        <f>HYPERLINK("https://www.esco-net.com/wcs/escort/ec/detail?hHinCd=EA495MG-3A","EA495MG-3A")</f>
        <v>EA495MG-3A</v>
      </c>
    </row>
    <row r="39" spans="2:5" x14ac:dyDescent="0.15">
      <c r="B39" s="6" t="s">
        <v>372</v>
      </c>
      <c r="C39" s="6" t="s">
        <v>373</v>
      </c>
      <c r="D39" s="6" t="s">
        <v>374</v>
      </c>
      <c r="E39" s="5"/>
    </row>
    <row r="40" spans="2:5" x14ac:dyDescent="0.15">
      <c r="B40" s="6" t="s">
        <v>375</v>
      </c>
      <c r="C40" s="6" t="s">
        <v>376</v>
      </c>
      <c r="D40" s="6" t="s">
        <v>377</v>
      </c>
      <c r="E40" s="5" t="str">
        <f>HYPERLINK("https://www.esco-net.com/wcs/escort/ec/detail?hHinCd=EA810JC-6","EA810JC-6")</f>
        <v>EA810JC-6</v>
      </c>
    </row>
    <row r="41" spans="2:5" x14ac:dyDescent="0.15">
      <c r="B41" s="6" t="s">
        <v>375</v>
      </c>
      <c r="C41" s="6" t="s">
        <v>378</v>
      </c>
      <c r="D41" s="6" t="s">
        <v>379</v>
      </c>
      <c r="E41" s="5" t="str">
        <f>HYPERLINK("https://www.esco-net.com/wcs/escort/ec/detail?hHinCd=EA945BT-31","EA945BT-31")</f>
        <v>EA945BT-31</v>
      </c>
    </row>
    <row r="42" spans="2:5" x14ac:dyDescent="0.15">
      <c r="B42" s="6" t="s">
        <v>380</v>
      </c>
      <c r="C42" s="6" t="s">
        <v>381</v>
      </c>
      <c r="D42" s="6" t="s">
        <v>382</v>
      </c>
      <c r="E42" s="5" t="str">
        <f>HYPERLINK("https://www.esco-net.com/wcs/escort/ec/detail?hHinCd=EA997MM-1A","EA997MM-1A")</f>
        <v>EA997MM-1A</v>
      </c>
    </row>
    <row r="43" spans="2:5" x14ac:dyDescent="0.15">
      <c r="B43" s="6" t="s">
        <v>383</v>
      </c>
      <c r="C43" s="6" t="s">
        <v>384</v>
      </c>
      <c r="D43" s="6" t="s">
        <v>385</v>
      </c>
      <c r="E43" s="5" t="str">
        <f>HYPERLINK("https://www.esco-net.com/wcs/escort/ec/detail?hHinCd=EA115MM-12A","EA115MM-12A")</f>
        <v>EA115MM-12A</v>
      </c>
    </row>
    <row r="44" spans="2:5" x14ac:dyDescent="0.15">
      <c r="B44" s="6" t="s">
        <v>386</v>
      </c>
      <c r="C44" s="6" t="s">
        <v>387</v>
      </c>
      <c r="D44" s="6" t="s">
        <v>388</v>
      </c>
      <c r="E44" s="5"/>
    </row>
    <row r="45" spans="2:5" x14ac:dyDescent="0.15">
      <c r="B45" s="6" t="s">
        <v>386</v>
      </c>
      <c r="C45" s="6" t="s">
        <v>389</v>
      </c>
      <c r="D45" s="6" t="s">
        <v>390</v>
      </c>
      <c r="E45" s="5" t="str">
        <f>HYPERLINK("https://www.esco-net.com/wcs/escort/ec/detail?hHinCd=EA905EC-6A","EA905EC-6A")</f>
        <v>EA905EC-6A</v>
      </c>
    </row>
    <row r="46" spans="2:5" x14ac:dyDescent="0.15">
      <c r="B46" s="6" t="s">
        <v>391</v>
      </c>
      <c r="C46" s="6" t="s">
        <v>392</v>
      </c>
      <c r="D46" s="6" t="s">
        <v>393</v>
      </c>
      <c r="E46" s="5" t="str">
        <f>HYPERLINK("https://www.esco-net.com/wcs/escort/ec/detail?hHinCd=EA763F-71A","EA763F-71A")</f>
        <v>EA763F-71A</v>
      </c>
    </row>
    <row r="47" spans="2:5" x14ac:dyDescent="0.15">
      <c r="B47" s="6" t="s">
        <v>391</v>
      </c>
      <c r="C47" s="6" t="s">
        <v>394</v>
      </c>
      <c r="D47" s="6" t="s">
        <v>395</v>
      </c>
      <c r="E47" s="5" t="str">
        <f>HYPERLINK("https://www.esco-net.com/wcs/escort/ec/detail?hHinCd=EA897AN-31A","EA897AN-31A")</f>
        <v>EA897AN-31A</v>
      </c>
    </row>
    <row r="48" spans="2:5" x14ac:dyDescent="0.15">
      <c r="B48" s="6" t="s">
        <v>396</v>
      </c>
      <c r="C48" s="6" t="s">
        <v>397</v>
      </c>
      <c r="D48" s="6" t="s">
        <v>398</v>
      </c>
      <c r="E48" s="5" t="str">
        <f>HYPERLINK("https://www.esco-net.com/wcs/escort/ec/detail?hHinCd=EA897AN-17A","EA897AN-17A")</f>
        <v>EA897AN-17A</v>
      </c>
    </row>
    <row r="49" spans="2:5" x14ac:dyDescent="0.15">
      <c r="B49" s="6" t="s">
        <v>399</v>
      </c>
      <c r="C49" s="6" t="s">
        <v>400</v>
      </c>
      <c r="D49" s="6" t="s">
        <v>401</v>
      </c>
      <c r="E49" s="5"/>
    </row>
    <row r="50" spans="2:5" x14ac:dyDescent="0.15">
      <c r="B50" s="6" t="s">
        <v>123</v>
      </c>
      <c r="C50" s="6" t="s">
        <v>402</v>
      </c>
      <c r="D50" s="6" t="s">
        <v>403</v>
      </c>
      <c r="E50" s="5" t="str">
        <f>HYPERLINK("https://www.esco-net.com/wcs/escort/ec/detail?hHinCd=EA897CN-1A","EA897CN-1A")</f>
        <v>EA897CN-1A</v>
      </c>
    </row>
    <row r="51" spans="2:5" x14ac:dyDescent="0.15">
      <c r="B51" s="6" t="s">
        <v>124</v>
      </c>
      <c r="C51" s="6" t="s">
        <v>404</v>
      </c>
      <c r="D51" s="6" t="s">
        <v>405</v>
      </c>
      <c r="E51" s="5" t="str">
        <f>HYPERLINK("https://www.esco-net.com/wcs/escort/ec/detail?hHinCd=EA763AD-112","EA763AD-112")</f>
        <v>EA763AD-112</v>
      </c>
    </row>
    <row r="52" spans="2:5" x14ac:dyDescent="0.15">
      <c r="B52" s="6" t="s">
        <v>124</v>
      </c>
      <c r="C52" s="6" t="s">
        <v>406</v>
      </c>
      <c r="D52" s="6" t="s">
        <v>407</v>
      </c>
      <c r="E52" s="5" t="str">
        <f>HYPERLINK("https://www.esco-net.com/wcs/escort/ec/detail?hHinCd=EA763AD-112","EA763AD-112")</f>
        <v>EA763AD-112</v>
      </c>
    </row>
    <row r="53" spans="2:5" x14ac:dyDescent="0.15">
      <c r="B53" s="6" t="s">
        <v>408</v>
      </c>
      <c r="C53" s="6" t="s">
        <v>409</v>
      </c>
      <c r="D53" s="6" t="s">
        <v>410</v>
      </c>
      <c r="E53" s="5"/>
    </row>
    <row r="54" spans="2:5" x14ac:dyDescent="0.15">
      <c r="B54" s="6" t="s">
        <v>26</v>
      </c>
      <c r="C54" s="6" t="s">
        <v>411</v>
      </c>
      <c r="D54" s="6" t="s">
        <v>412</v>
      </c>
      <c r="E54" s="5" t="str">
        <f>HYPERLINK("https://www.esco-net.com/wcs/escort/ec/detail?hHinCd=EA303FA-11","EA303FA-11")</f>
        <v>EA303FA-11</v>
      </c>
    </row>
    <row r="55" spans="2:5" x14ac:dyDescent="0.15">
      <c r="B55" s="6" t="s">
        <v>413</v>
      </c>
      <c r="C55" s="6" t="s">
        <v>414</v>
      </c>
      <c r="D55" s="6" t="s">
        <v>415</v>
      </c>
      <c r="E55" s="5" t="str">
        <f>HYPERLINK("https://www.esco-net.com/wcs/escort/ec/detail?hHinCd=EA315SB-2","EA315SB-2")</f>
        <v>EA315SB-2</v>
      </c>
    </row>
    <row r="56" spans="2:5" x14ac:dyDescent="0.15">
      <c r="B56" s="6" t="s">
        <v>416</v>
      </c>
      <c r="C56" s="6" t="s">
        <v>417</v>
      </c>
      <c r="D56" s="6" t="s">
        <v>418</v>
      </c>
      <c r="E56" s="5"/>
    </row>
    <row r="57" spans="2:5" x14ac:dyDescent="0.15">
      <c r="B57" s="6" t="s">
        <v>125</v>
      </c>
      <c r="C57" s="6" t="s">
        <v>419</v>
      </c>
      <c r="D57" s="6" t="s">
        <v>420</v>
      </c>
      <c r="E57" s="5"/>
    </row>
    <row r="58" spans="2:5" x14ac:dyDescent="0.15">
      <c r="B58" s="6" t="s">
        <v>421</v>
      </c>
      <c r="C58" s="6" t="s">
        <v>422</v>
      </c>
      <c r="D58" s="6" t="s">
        <v>423</v>
      </c>
      <c r="E58" s="5" t="str">
        <f>HYPERLINK("https://www.esco-net.com/wcs/escort/ec/detail?hHinCd=EA526CC-6","EA526CC-6")</f>
        <v>EA526CC-6</v>
      </c>
    </row>
    <row r="59" spans="2:5" x14ac:dyDescent="0.15">
      <c r="B59" s="6" t="s">
        <v>421</v>
      </c>
      <c r="C59" s="6" t="s">
        <v>424</v>
      </c>
      <c r="D59" s="6" t="s">
        <v>425</v>
      </c>
      <c r="E59" s="5" t="str">
        <f>HYPERLINK("https://www.esco-net.com/wcs/escort/ec/detail?hHinCd=EA353AT-127","EA353AT-127")</f>
        <v>EA353AT-127</v>
      </c>
    </row>
    <row r="60" spans="2:5" x14ac:dyDescent="0.15">
      <c r="B60" s="6" t="s">
        <v>126</v>
      </c>
      <c r="C60" s="6" t="s">
        <v>426</v>
      </c>
      <c r="D60" s="6" t="s">
        <v>427</v>
      </c>
      <c r="E60" s="5" t="str">
        <f>HYPERLINK("https://www.esco-net.com/wcs/escort/ec/detail?hHinCd=EA526SG-7","EA526SG-7")</f>
        <v>EA526SG-7</v>
      </c>
    </row>
    <row r="61" spans="2:5" x14ac:dyDescent="0.15">
      <c r="B61" s="6" t="s">
        <v>126</v>
      </c>
      <c r="C61" s="6" t="s">
        <v>428</v>
      </c>
      <c r="D61" s="6" t="s">
        <v>429</v>
      </c>
      <c r="E61" s="5" t="str">
        <f>HYPERLINK("https://www.esco-net.com/wcs/escort/ec/detail?hHinCd=EA526SG-5","EA526SG-5")</f>
        <v>EA526SG-5</v>
      </c>
    </row>
    <row r="62" spans="2:5" x14ac:dyDescent="0.15">
      <c r="B62" s="6" t="s">
        <v>126</v>
      </c>
      <c r="C62" s="6" t="s">
        <v>430</v>
      </c>
      <c r="D62" s="6" t="s">
        <v>431</v>
      </c>
      <c r="E62" s="5" t="str">
        <f>HYPERLINK("https://www.esco-net.com/wcs/escort/ec/detail?hHinCd=EA526SG-8","EA526SG-8")</f>
        <v>EA526SG-8</v>
      </c>
    </row>
    <row r="63" spans="2:5" x14ac:dyDescent="0.15">
      <c r="B63" s="6" t="s">
        <v>126</v>
      </c>
      <c r="C63" s="6" t="s">
        <v>432</v>
      </c>
      <c r="D63" s="6" t="s">
        <v>433</v>
      </c>
      <c r="E63" s="5" t="str">
        <f>HYPERLINK("https://www.esco-net.com/wcs/escort/ec/detail?hHinCd=EA526WJ-300","EA526WJ-300")</f>
        <v>EA526WJ-300</v>
      </c>
    </row>
    <row r="64" spans="2:5" x14ac:dyDescent="0.15">
      <c r="B64" s="6" t="s">
        <v>76</v>
      </c>
      <c r="C64" s="6" t="s">
        <v>434</v>
      </c>
      <c r="D64" s="6" t="s">
        <v>435</v>
      </c>
      <c r="E64" s="5" t="str">
        <f>HYPERLINK("https://www.esco-net.com/wcs/escort/ec/detail?hHinCd=EA545KR-1","EA545KR-1")</f>
        <v>EA545KR-1</v>
      </c>
    </row>
    <row r="65" spans="2:5" x14ac:dyDescent="0.15">
      <c r="B65" s="6" t="s">
        <v>127</v>
      </c>
      <c r="C65" s="6" t="s">
        <v>436</v>
      </c>
      <c r="D65" s="6" t="s">
        <v>437</v>
      </c>
      <c r="E65" s="5" t="str">
        <f>HYPERLINK("https://www.esco-net.com/wcs/escort/ec/detail?hHinCd=EA545BH-5","EA545BH-5")</f>
        <v>EA545BH-5</v>
      </c>
    </row>
    <row r="66" spans="2:5" x14ac:dyDescent="0.15">
      <c r="B66" s="6" t="s">
        <v>128</v>
      </c>
      <c r="C66" s="6" t="s">
        <v>438</v>
      </c>
      <c r="D66" s="6" t="s">
        <v>439</v>
      </c>
      <c r="E66" s="5" t="str">
        <f>HYPERLINK("https://www.esco-net.com/wcs/escort/ec/detail?hHinCd=EA572MC-13","EA572MC-13")</f>
        <v>EA572MC-13</v>
      </c>
    </row>
    <row r="67" spans="2:5" x14ac:dyDescent="0.15">
      <c r="B67" s="6" t="s">
        <v>440</v>
      </c>
      <c r="C67" s="6" t="s">
        <v>441</v>
      </c>
      <c r="D67" s="6" t="s">
        <v>442</v>
      </c>
      <c r="E67" s="5" t="str">
        <f>HYPERLINK("https://www.esco-net.com/wcs/escort/ec/detail?hHinCd=EA683PK-13","EA683PK-13")</f>
        <v>EA683PK-13</v>
      </c>
    </row>
    <row r="68" spans="2:5" x14ac:dyDescent="0.15">
      <c r="B68" s="6" t="s">
        <v>440</v>
      </c>
      <c r="C68" s="6" t="s">
        <v>443</v>
      </c>
      <c r="D68" s="6" t="s">
        <v>444</v>
      </c>
      <c r="E68" s="5" t="str">
        <f>HYPERLINK("https://www.esco-net.com/wcs/escort/ec/detail?hHinCd=EA575YN-2","EA575YN-2")</f>
        <v>EA575YN-2</v>
      </c>
    </row>
    <row r="69" spans="2:5" x14ac:dyDescent="0.15">
      <c r="B69" s="6" t="s">
        <v>445</v>
      </c>
      <c r="C69" s="6" t="s">
        <v>446</v>
      </c>
      <c r="D69" s="6" t="s">
        <v>447</v>
      </c>
      <c r="E69" s="5" t="str">
        <f>HYPERLINK("https://www.esco-net.com/wcs/escort/ec/detail?hHinCd=EA575WL-3","EA575WL-3")</f>
        <v>EA575WL-3</v>
      </c>
    </row>
    <row r="70" spans="2:5" x14ac:dyDescent="0.15">
      <c r="B70" s="6" t="s">
        <v>445</v>
      </c>
      <c r="C70" s="6" t="s">
        <v>448</v>
      </c>
      <c r="D70" s="6" t="s">
        <v>449</v>
      </c>
      <c r="E70" s="5" t="str">
        <f>HYPERLINK("https://www.esco-net.com/wcs/escort/ec/detail?hHinCd=EA575B-32","EA575B-32")</f>
        <v>EA575B-32</v>
      </c>
    </row>
    <row r="71" spans="2:5" x14ac:dyDescent="0.15">
      <c r="B71" s="6" t="s">
        <v>445</v>
      </c>
      <c r="C71" s="6" t="s">
        <v>450</v>
      </c>
      <c r="D71" s="6" t="s">
        <v>451</v>
      </c>
      <c r="E71" s="5" t="str">
        <f>HYPERLINK("https://www.esco-net.com/wcs/escort/ec/detail?hHinCd=EA575WL-17","EA575WL-17")</f>
        <v>EA575WL-17</v>
      </c>
    </row>
    <row r="72" spans="2:5" x14ac:dyDescent="0.15">
      <c r="B72" s="6" t="s">
        <v>12</v>
      </c>
      <c r="C72" s="6" t="s">
        <v>452</v>
      </c>
      <c r="D72" s="6" t="s">
        <v>453</v>
      </c>
      <c r="E72" s="5" t="str">
        <f>HYPERLINK("https://www.esco-net.com/wcs/escort/ec/detail?hHinCd=EA575WV-65","EA575WV-65")</f>
        <v>EA575WV-65</v>
      </c>
    </row>
    <row r="73" spans="2:5" x14ac:dyDescent="0.15">
      <c r="B73" s="6" t="s">
        <v>12</v>
      </c>
      <c r="C73" s="6" t="s">
        <v>454</v>
      </c>
      <c r="D73" s="6" t="s">
        <v>455</v>
      </c>
      <c r="E73" s="5" t="str">
        <f>HYPERLINK("https://www.esco-net.com/wcs/escort/ec/detail?hHinCd=EA643DA-106","EA643DA-106")</f>
        <v>EA643DA-106</v>
      </c>
    </row>
    <row r="74" spans="2:5" x14ac:dyDescent="0.15">
      <c r="B74" s="6" t="s">
        <v>129</v>
      </c>
      <c r="C74" s="6" t="s">
        <v>456</v>
      </c>
      <c r="D74" s="6" t="s">
        <v>457</v>
      </c>
      <c r="E74" s="5" t="str">
        <f>HYPERLINK("https://www.esco-net.com/wcs/escort/ec/detail?hHinCd=EA570A-52","EA570A-52")</f>
        <v>EA570A-52</v>
      </c>
    </row>
    <row r="75" spans="2:5" x14ac:dyDescent="0.15">
      <c r="B75" s="6" t="s">
        <v>129</v>
      </c>
      <c r="C75" s="6" t="s">
        <v>458</v>
      </c>
      <c r="D75" s="6" t="s">
        <v>459</v>
      </c>
      <c r="E75" s="5" t="str">
        <f>HYPERLINK("https://www.esco-net.com/wcs/escort/ec/detail?hHinCd=EA575D-22","EA575D-22")</f>
        <v>EA575D-22</v>
      </c>
    </row>
    <row r="76" spans="2:5" x14ac:dyDescent="0.15">
      <c r="B76" s="6" t="s">
        <v>129</v>
      </c>
      <c r="C76" s="6" t="s">
        <v>460</v>
      </c>
      <c r="D76" s="6" t="s">
        <v>461</v>
      </c>
      <c r="E76" s="5"/>
    </row>
    <row r="77" spans="2:5" x14ac:dyDescent="0.15">
      <c r="B77" s="6" t="s">
        <v>130</v>
      </c>
      <c r="C77" s="6" t="s">
        <v>462</v>
      </c>
      <c r="D77" s="6" t="s">
        <v>463</v>
      </c>
      <c r="E77" s="5"/>
    </row>
    <row r="78" spans="2:5" x14ac:dyDescent="0.15">
      <c r="B78" s="6" t="s">
        <v>27</v>
      </c>
      <c r="C78" s="6" t="s">
        <v>464</v>
      </c>
      <c r="D78" s="6" t="s">
        <v>465</v>
      </c>
      <c r="E78" s="5" t="str">
        <f>HYPERLINK("https://www.esco-net.com/wcs/escort/ec/detail?hHinCd=EA570A-6","EA570A-6")</f>
        <v>EA570A-6</v>
      </c>
    </row>
    <row r="79" spans="2:5" x14ac:dyDescent="0.15">
      <c r="B79" s="6" t="s">
        <v>466</v>
      </c>
      <c r="C79" s="6" t="s">
        <v>467</v>
      </c>
      <c r="D79" s="6" t="s">
        <v>468</v>
      </c>
      <c r="E79" s="5" t="str">
        <f>HYPERLINK("https://www.esco-net.com/wcs/escort/ec/detail?hHinCd=EA589LE-2","EA589LE-2")</f>
        <v>EA589LE-2</v>
      </c>
    </row>
    <row r="80" spans="2:5" x14ac:dyDescent="0.15">
      <c r="B80" s="6" t="s">
        <v>469</v>
      </c>
      <c r="C80" s="6" t="s">
        <v>470</v>
      </c>
      <c r="D80" s="6" t="s">
        <v>471</v>
      </c>
      <c r="E80" s="5"/>
    </row>
    <row r="81" spans="2:5" x14ac:dyDescent="0.15">
      <c r="B81" s="6" t="s">
        <v>77</v>
      </c>
      <c r="C81" s="6" t="s">
        <v>472</v>
      </c>
      <c r="D81" s="6" t="s">
        <v>473</v>
      </c>
      <c r="E81" s="5" t="str">
        <f>HYPERLINK("https://www.esco-net.com/wcs/escort/ec/detail?hHinCd=EA526B-31","EA526B-31")</f>
        <v>EA526B-31</v>
      </c>
    </row>
    <row r="82" spans="2:5" x14ac:dyDescent="0.15">
      <c r="B82" s="6" t="s">
        <v>77</v>
      </c>
      <c r="C82" s="6" t="s">
        <v>474</v>
      </c>
      <c r="D82" s="6" t="s">
        <v>475</v>
      </c>
      <c r="E82" s="5" t="str">
        <f>HYPERLINK("https://www.esco-net.com/wcs/escort/ec/detail?hHinCd=EA526WP-50","EA526WP-50")</f>
        <v>EA526WP-50</v>
      </c>
    </row>
    <row r="83" spans="2:5" x14ac:dyDescent="0.15">
      <c r="B83" s="6" t="s">
        <v>28</v>
      </c>
      <c r="C83" s="6" t="s">
        <v>476</v>
      </c>
      <c r="D83" s="6" t="s">
        <v>477</v>
      </c>
      <c r="E83" s="5" t="str">
        <f>HYPERLINK("https://www.esco-net.com/wcs/escort/ec/detail?hHinCd=EA526AJ-13","EA526AJ-13")</f>
        <v>EA526AJ-13</v>
      </c>
    </row>
    <row r="84" spans="2:5" x14ac:dyDescent="0.15">
      <c r="B84" s="6" t="s">
        <v>28</v>
      </c>
      <c r="C84" s="6" t="s">
        <v>478</v>
      </c>
      <c r="D84" s="6" t="s">
        <v>479</v>
      </c>
      <c r="E84" s="5" t="str">
        <f>HYPERLINK("https://www.esco-net.com/wcs/escort/ec/detail?hHinCd=EA526AK-15","EA526AK-15")</f>
        <v>EA526AK-15</v>
      </c>
    </row>
    <row r="85" spans="2:5" x14ac:dyDescent="0.15">
      <c r="B85" s="6" t="s">
        <v>480</v>
      </c>
      <c r="C85" s="6" t="s">
        <v>481</v>
      </c>
      <c r="D85" s="6" t="s">
        <v>482</v>
      </c>
      <c r="E85" s="5"/>
    </row>
    <row r="86" spans="2:5" x14ac:dyDescent="0.15">
      <c r="B86" s="6" t="s">
        <v>29</v>
      </c>
      <c r="C86" s="6" t="s">
        <v>483</v>
      </c>
      <c r="D86" s="6" t="s">
        <v>484</v>
      </c>
      <c r="E86" s="5" t="str">
        <f>HYPERLINK("https://www.esco-net.com/wcs/escort/ec/detail?hHinCd=EA599CC-10","EA599CC-10")</f>
        <v>EA599CC-10</v>
      </c>
    </row>
    <row r="87" spans="2:5" x14ac:dyDescent="0.15">
      <c r="B87" s="6" t="s">
        <v>485</v>
      </c>
      <c r="C87" s="6" t="s">
        <v>486</v>
      </c>
      <c r="D87" s="6" t="s">
        <v>487</v>
      </c>
      <c r="E87" s="5"/>
    </row>
    <row r="88" spans="2:5" x14ac:dyDescent="0.15">
      <c r="B88" s="6" t="s">
        <v>488</v>
      </c>
      <c r="C88" s="6" t="s">
        <v>489</v>
      </c>
      <c r="D88" s="6" t="s">
        <v>490</v>
      </c>
      <c r="E88" s="5" t="str">
        <f>HYPERLINK("https://www.esco-net.com/wcs/escort/ec/detail?hHinCd=EA588DC-1","EA588DC-1")</f>
        <v>EA588DC-1</v>
      </c>
    </row>
    <row r="89" spans="2:5" x14ac:dyDescent="0.15">
      <c r="B89" s="6" t="s">
        <v>491</v>
      </c>
      <c r="C89" s="6" t="s">
        <v>492</v>
      </c>
      <c r="D89" s="6" t="s">
        <v>493</v>
      </c>
      <c r="E89" s="5"/>
    </row>
    <row r="90" spans="2:5" x14ac:dyDescent="0.15">
      <c r="B90" s="6" t="s">
        <v>131</v>
      </c>
      <c r="C90" s="6" t="s">
        <v>494</v>
      </c>
      <c r="D90" s="6" t="s">
        <v>495</v>
      </c>
      <c r="E90" s="5" t="str">
        <f>HYPERLINK("https://www.esco-net.com/wcs/escort/ec/detail?hHinCd=EA109MG-103","EA109MG-103")</f>
        <v>EA109MG-103</v>
      </c>
    </row>
    <row r="91" spans="2:5" x14ac:dyDescent="0.15">
      <c r="B91" s="6" t="s">
        <v>30</v>
      </c>
      <c r="C91" s="6" t="s">
        <v>496</v>
      </c>
      <c r="D91" s="6" t="s">
        <v>497</v>
      </c>
      <c r="E91" s="5" t="str">
        <f>HYPERLINK("https://www.esco-net.com/wcs/escort/ec/detail?hHinCd=EA109LA-44","EA109LA-44")</f>
        <v>EA109LA-44</v>
      </c>
    </row>
    <row r="92" spans="2:5" x14ac:dyDescent="0.15">
      <c r="B92" s="6" t="s">
        <v>30</v>
      </c>
      <c r="C92" s="6" t="s">
        <v>498</v>
      </c>
      <c r="D92" s="6" t="s">
        <v>499</v>
      </c>
      <c r="E92" s="5"/>
    </row>
    <row r="93" spans="2:5" x14ac:dyDescent="0.15">
      <c r="B93" s="6" t="s">
        <v>30</v>
      </c>
      <c r="C93" s="6" t="s">
        <v>500</v>
      </c>
      <c r="D93" s="6" t="s">
        <v>501</v>
      </c>
      <c r="E93" s="5" t="str">
        <f>HYPERLINK("https://www.esco-net.com/wcs/escort/ec/detail?hHinCd=EA109LS-22","EA109LS-22")</f>
        <v>EA109LS-22</v>
      </c>
    </row>
    <row r="94" spans="2:5" x14ac:dyDescent="0.15">
      <c r="B94" s="6" t="s">
        <v>502</v>
      </c>
      <c r="C94" s="6" t="s">
        <v>503</v>
      </c>
      <c r="D94" s="6" t="s">
        <v>504</v>
      </c>
      <c r="E94" s="5" t="str">
        <f>HYPERLINK("https://www.esco-net.com/wcs/escort/ec/detail?hHinCd=EA109NE-37A","EA109NE-37A")</f>
        <v>EA109NE-37A</v>
      </c>
    </row>
    <row r="95" spans="2:5" x14ac:dyDescent="0.15">
      <c r="B95" s="6" t="s">
        <v>132</v>
      </c>
      <c r="C95" s="6" t="s">
        <v>505</v>
      </c>
      <c r="D95" s="6" t="s">
        <v>506</v>
      </c>
      <c r="E95" s="5"/>
    </row>
    <row r="96" spans="2:5" x14ac:dyDescent="0.15">
      <c r="B96" s="6" t="s">
        <v>132</v>
      </c>
      <c r="C96" s="6" t="s">
        <v>507</v>
      </c>
      <c r="D96" s="6" t="s">
        <v>508</v>
      </c>
      <c r="E96" s="5"/>
    </row>
    <row r="97" spans="2:5" x14ac:dyDescent="0.15">
      <c r="B97" s="6" t="s">
        <v>132</v>
      </c>
      <c r="C97" s="6" t="s">
        <v>509</v>
      </c>
      <c r="D97" s="6" t="s">
        <v>510</v>
      </c>
      <c r="E97" s="5"/>
    </row>
    <row r="98" spans="2:5" x14ac:dyDescent="0.15">
      <c r="B98" s="6" t="s">
        <v>133</v>
      </c>
      <c r="C98" s="6" t="s">
        <v>511</v>
      </c>
      <c r="D98" s="6" t="s">
        <v>512</v>
      </c>
      <c r="E98" s="5" t="str">
        <f>HYPERLINK("https://www.esco-net.com/wcs/escort/ec/detail?hHinCd=EA944MC-11","EA944MC-11")</f>
        <v>EA944MC-11</v>
      </c>
    </row>
    <row r="99" spans="2:5" x14ac:dyDescent="0.15">
      <c r="B99" s="6" t="s">
        <v>133</v>
      </c>
      <c r="C99" s="6" t="s">
        <v>513</v>
      </c>
      <c r="D99" s="6" t="s">
        <v>514</v>
      </c>
      <c r="E99" s="5" t="str">
        <f>HYPERLINK("https://www.esco-net.com/wcs/escort/ec/detail?hHinCd=EA944MC-12","EA944MC-12")</f>
        <v>EA944MC-12</v>
      </c>
    </row>
    <row r="100" spans="2:5" x14ac:dyDescent="0.15">
      <c r="B100" s="6" t="s">
        <v>133</v>
      </c>
      <c r="C100" s="6" t="s">
        <v>515</v>
      </c>
      <c r="D100" s="6" t="s">
        <v>516</v>
      </c>
      <c r="E100" s="5" t="str">
        <f>HYPERLINK("https://www.esco-net.com/wcs/escort/ec/detail?hHinCd=EA944MC-38","EA944MC-38")</f>
        <v>EA944MC-38</v>
      </c>
    </row>
    <row r="101" spans="2:5" x14ac:dyDescent="0.15">
      <c r="B101" s="6" t="s">
        <v>133</v>
      </c>
      <c r="C101" s="6" t="s">
        <v>517</v>
      </c>
      <c r="D101" s="6" t="s">
        <v>518</v>
      </c>
      <c r="E101" s="5" t="str">
        <f>HYPERLINK("https://www.esco-net.com/wcs/escort/ec/detail?hHinCd=EA944MC-39","EA944MC-39")</f>
        <v>EA944MC-39</v>
      </c>
    </row>
    <row r="102" spans="2:5" x14ac:dyDescent="0.15">
      <c r="B102" s="6" t="s">
        <v>133</v>
      </c>
      <c r="C102" s="6" t="s">
        <v>519</v>
      </c>
      <c r="D102" s="6" t="s">
        <v>520</v>
      </c>
      <c r="E102" s="5" t="str">
        <f>HYPERLINK("https://www.esco-net.com/wcs/escort/ec/detail?hHinCd=EA944MC-32","EA944MC-32")</f>
        <v>EA944MC-32</v>
      </c>
    </row>
    <row r="103" spans="2:5" x14ac:dyDescent="0.15">
      <c r="B103" s="6" t="s">
        <v>521</v>
      </c>
      <c r="C103" s="6" t="s">
        <v>522</v>
      </c>
      <c r="D103" s="6" t="s">
        <v>523</v>
      </c>
      <c r="E103" s="5" t="str">
        <f>HYPERLINK("https://www.esco-net.com/wcs/escort/ec/detail?hHinCd=EA950CE","EA950CE")</f>
        <v>EA950CE</v>
      </c>
    </row>
    <row r="104" spans="2:5" x14ac:dyDescent="0.15">
      <c r="B104" s="6" t="s">
        <v>524</v>
      </c>
      <c r="C104" s="6" t="s">
        <v>525</v>
      </c>
      <c r="D104" s="6" t="s">
        <v>526</v>
      </c>
      <c r="E104" s="5"/>
    </row>
    <row r="105" spans="2:5" x14ac:dyDescent="0.15">
      <c r="B105" s="6" t="s">
        <v>134</v>
      </c>
      <c r="C105" s="6" t="s">
        <v>527</v>
      </c>
      <c r="D105" s="6" t="s">
        <v>528</v>
      </c>
      <c r="E105" s="5" t="str">
        <f>HYPERLINK("https://www.esco-net.com/wcs/escort/ec/detail?hHinCd=EA642HY-5","EA642HY-5")</f>
        <v>EA642HY-5</v>
      </c>
    </row>
    <row r="106" spans="2:5" x14ac:dyDescent="0.15">
      <c r="B106" s="6" t="s">
        <v>134</v>
      </c>
      <c r="C106" s="6" t="s">
        <v>529</v>
      </c>
      <c r="D106" s="6" t="s">
        <v>530</v>
      </c>
      <c r="E106" s="5"/>
    </row>
    <row r="107" spans="2:5" x14ac:dyDescent="0.15">
      <c r="B107" s="6" t="s">
        <v>134</v>
      </c>
      <c r="C107" s="6" t="s">
        <v>531</v>
      </c>
      <c r="D107" s="6" t="s">
        <v>532</v>
      </c>
      <c r="E107" s="5" t="str">
        <f>HYPERLINK("https://www.esco-net.com/wcs/escort/ec/detail?hHinCd=EA642KN-38","EA642KN-38")</f>
        <v>EA642KN-38</v>
      </c>
    </row>
    <row r="108" spans="2:5" x14ac:dyDescent="0.15">
      <c r="B108" s="6" t="s">
        <v>31</v>
      </c>
      <c r="C108" s="6" t="s">
        <v>533</v>
      </c>
      <c r="D108" s="6" t="s">
        <v>534</v>
      </c>
      <c r="E108" s="5"/>
    </row>
    <row r="109" spans="2:5" x14ac:dyDescent="0.15">
      <c r="B109" s="6" t="s">
        <v>135</v>
      </c>
      <c r="C109" s="6" t="s">
        <v>535</v>
      </c>
      <c r="D109" s="6" t="s">
        <v>536</v>
      </c>
      <c r="E109" s="5" t="str">
        <f>HYPERLINK("https://www.esco-net.com/wcs/escort/ec/detail?hHinCd=EA643BP-12","EA643BP-12")</f>
        <v>EA643BP-12</v>
      </c>
    </row>
    <row r="110" spans="2:5" x14ac:dyDescent="0.15">
      <c r="B110" s="6" t="s">
        <v>136</v>
      </c>
      <c r="C110" s="6" t="s">
        <v>537</v>
      </c>
      <c r="D110" s="6" t="s">
        <v>538</v>
      </c>
      <c r="E110" s="5" t="str">
        <f>HYPERLINK("https://www.esco-net.com/wcs/escort/ec/detail?hHinCd=EA643DB-7","EA643DB-7")</f>
        <v>EA643DB-7</v>
      </c>
    </row>
    <row r="111" spans="2:5" x14ac:dyDescent="0.15">
      <c r="B111" s="6" t="s">
        <v>539</v>
      </c>
      <c r="C111" s="6" t="s">
        <v>540</v>
      </c>
      <c r="D111" s="6" t="s">
        <v>541</v>
      </c>
      <c r="E111" s="5"/>
    </row>
    <row r="112" spans="2:5" x14ac:dyDescent="0.15">
      <c r="B112" s="6" t="s">
        <v>539</v>
      </c>
      <c r="C112" s="6" t="s">
        <v>542</v>
      </c>
      <c r="D112" s="6" t="s">
        <v>543</v>
      </c>
      <c r="E112" s="5"/>
    </row>
    <row r="113" spans="2:5" x14ac:dyDescent="0.15">
      <c r="B113" s="6" t="s">
        <v>78</v>
      </c>
      <c r="C113" s="6" t="s">
        <v>544</v>
      </c>
      <c r="D113" s="6" t="s">
        <v>545</v>
      </c>
      <c r="E113" s="5" t="str">
        <f>HYPERLINK("https://www.esco-net.com/wcs/escort/ec/detail?hHinCd=EA338KE","EA338KE")</f>
        <v>EA338KE</v>
      </c>
    </row>
    <row r="114" spans="2:5" x14ac:dyDescent="0.15">
      <c r="B114" s="6" t="s">
        <v>137</v>
      </c>
      <c r="C114" s="6" t="s">
        <v>546</v>
      </c>
      <c r="D114" s="6" t="s">
        <v>547</v>
      </c>
      <c r="E114" s="5" t="str">
        <f>HYPERLINK("https://www.esco-net.com/wcs/escort/ec/detail?hHinCd=EA348BG-1","EA348BG-1")</f>
        <v>EA348BG-1</v>
      </c>
    </row>
    <row r="115" spans="2:5" x14ac:dyDescent="0.15">
      <c r="B115" s="6" t="s">
        <v>138</v>
      </c>
      <c r="C115" s="6" t="s">
        <v>548</v>
      </c>
      <c r="D115" s="6" t="s">
        <v>549</v>
      </c>
      <c r="E115" s="5" t="str">
        <f>HYPERLINK("https://www.esco-net.com/wcs/escort/ec/detail?hHinCd=EA546BD-900B","EA546BD-900B")</f>
        <v>EA546BD-900B</v>
      </c>
    </row>
    <row r="116" spans="2:5" x14ac:dyDescent="0.15">
      <c r="B116" s="6" t="s">
        <v>550</v>
      </c>
      <c r="C116" s="6" t="s">
        <v>551</v>
      </c>
      <c r="D116" s="6" t="s">
        <v>552</v>
      </c>
      <c r="E116" s="5" t="str">
        <f>HYPERLINK("https://www.esco-net.com/wcs/escort/ec/detail?hHinCd=EA546CA-15","EA546CA-15")</f>
        <v>EA546CA-15</v>
      </c>
    </row>
    <row r="117" spans="2:5" x14ac:dyDescent="0.15">
      <c r="B117" s="6" t="s">
        <v>139</v>
      </c>
      <c r="C117" s="6" t="s">
        <v>553</v>
      </c>
      <c r="D117" s="6" t="s">
        <v>554</v>
      </c>
      <c r="E117" s="5" t="str">
        <f>HYPERLINK("https://www.esco-net.com/wcs/escort/ec/detail?hHinCd=EA531KP-7","EA531KP-7")</f>
        <v>EA531KP-7</v>
      </c>
    </row>
    <row r="118" spans="2:5" x14ac:dyDescent="0.15">
      <c r="B118" s="6" t="s">
        <v>555</v>
      </c>
      <c r="C118" s="6" t="s">
        <v>556</v>
      </c>
      <c r="D118" s="6" t="s">
        <v>557</v>
      </c>
      <c r="E118" s="5" t="str">
        <f>HYPERLINK("https://www.esco-net.com/wcs/escort/ec/detail?hHinCd=EA530ZJ-11","EA530ZJ-11")</f>
        <v>EA530ZJ-11</v>
      </c>
    </row>
    <row r="119" spans="2:5" x14ac:dyDescent="0.15">
      <c r="B119" s="6" t="s">
        <v>555</v>
      </c>
      <c r="C119" s="6" t="s">
        <v>558</v>
      </c>
      <c r="D119" s="6" t="s">
        <v>559</v>
      </c>
      <c r="E119" s="5" t="str">
        <f>HYPERLINK("https://www.esco-net.com/wcs/escort/ec/detail?hHinCd=EA546JB-1A","EA546JB-1A")</f>
        <v>EA546JB-1A</v>
      </c>
    </row>
    <row r="120" spans="2:5" x14ac:dyDescent="0.15">
      <c r="B120" s="6" t="s">
        <v>560</v>
      </c>
      <c r="C120" s="6" t="s">
        <v>561</v>
      </c>
      <c r="D120" s="6" t="s">
        <v>562</v>
      </c>
      <c r="E120" s="5" t="str">
        <f>HYPERLINK("https://www.esco-net.com/wcs/escort/ec/detail?hHinCd=EA531K-180","EA531K-180")</f>
        <v>EA531K-180</v>
      </c>
    </row>
    <row r="121" spans="2:5" x14ac:dyDescent="0.15">
      <c r="B121" s="6" t="s">
        <v>560</v>
      </c>
      <c r="C121" s="6" t="s">
        <v>563</v>
      </c>
      <c r="D121" s="6" t="s">
        <v>564</v>
      </c>
      <c r="E121" s="5" t="str">
        <f>HYPERLINK("https://www.esco-net.com/wcs/escort/ec/detail?hHinCd=EA531KA-1","EA531KA-1")</f>
        <v>EA531KA-1</v>
      </c>
    </row>
    <row r="122" spans="2:5" x14ac:dyDescent="0.15">
      <c r="B122" s="6" t="s">
        <v>565</v>
      </c>
      <c r="C122" s="6" t="s">
        <v>566</v>
      </c>
      <c r="D122" s="6" t="s">
        <v>567</v>
      </c>
      <c r="E122" s="5"/>
    </row>
    <row r="123" spans="2:5" x14ac:dyDescent="0.15">
      <c r="B123" s="6" t="s">
        <v>568</v>
      </c>
      <c r="C123" s="6" t="s">
        <v>569</v>
      </c>
      <c r="D123" s="6" t="s">
        <v>570</v>
      </c>
      <c r="E123" s="5"/>
    </row>
    <row r="124" spans="2:5" x14ac:dyDescent="0.15">
      <c r="B124" s="6" t="s">
        <v>568</v>
      </c>
      <c r="C124" s="6" t="s">
        <v>571</v>
      </c>
      <c r="D124" s="6" t="s">
        <v>572</v>
      </c>
      <c r="E124" s="5" t="str">
        <f>HYPERLINK("https://www.esco-net.com/wcs/escort/ec/detail?hHinCd=EA340GA-2","EA340GA-2")</f>
        <v>EA340GA-2</v>
      </c>
    </row>
    <row r="125" spans="2:5" x14ac:dyDescent="0.15">
      <c r="B125" s="6" t="s">
        <v>573</v>
      </c>
      <c r="C125" s="6" t="s">
        <v>574</v>
      </c>
      <c r="D125" s="6" t="s">
        <v>575</v>
      </c>
      <c r="E125" s="5" t="str">
        <f>HYPERLINK("https://www.esco-net.com/wcs/escort/ec/detail?hHinCd=EA566AJ-7","EA566AJ-7")</f>
        <v>EA566AJ-7</v>
      </c>
    </row>
    <row r="126" spans="2:5" x14ac:dyDescent="0.15">
      <c r="B126" s="6" t="s">
        <v>576</v>
      </c>
      <c r="C126" s="6" t="s">
        <v>577</v>
      </c>
      <c r="D126" s="6" t="s">
        <v>578</v>
      </c>
      <c r="E126" s="5" t="str">
        <f>HYPERLINK("https://www.esco-net.com/wcs/escort/ec/detail?hHinCd=EA534KS-3","EA534KS-3")</f>
        <v>EA534KS-3</v>
      </c>
    </row>
    <row r="127" spans="2:5" x14ac:dyDescent="0.15">
      <c r="B127" s="6" t="s">
        <v>576</v>
      </c>
      <c r="C127" s="6" t="s">
        <v>579</v>
      </c>
      <c r="D127" s="6" t="s">
        <v>578</v>
      </c>
      <c r="E127" s="5" t="str">
        <f>HYPERLINK("https://www.esco-net.com/wcs/escort/ec/detail?hHinCd=EA534KS-3","EA534KS-3")</f>
        <v>EA534KS-3</v>
      </c>
    </row>
    <row r="128" spans="2:5" x14ac:dyDescent="0.15">
      <c r="B128" s="6" t="s">
        <v>580</v>
      </c>
      <c r="C128" s="6" t="s">
        <v>581</v>
      </c>
      <c r="D128" s="6" t="s">
        <v>582</v>
      </c>
      <c r="E128" s="5" t="str">
        <f>HYPERLINK("https://www.esco-net.com/wcs/escort/ec/detail?hHinCd=EA36C-1","EA36C-1")</f>
        <v>EA36C-1</v>
      </c>
    </row>
    <row r="129" spans="2:5" x14ac:dyDescent="0.15">
      <c r="B129" s="6" t="s">
        <v>583</v>
      </c>
      <c r="C129" s="6" t="s">
        <v>584</v>
      </c>
      <c r="D129" s="6" t="s">
        <v>585</v>
      </c>
      <c r="E129" s="5" t="str">
        <f>HYPERLINK("https://www.esco-net.com/wcs/escort/ec/detail?hHinCd=EA537KE-200","EA537KE-200")</f>
        <v>EA537KE-200</v>
      </c>
    </row>
    <row r="130" spans="2:5" x14ac:dyDescent="0.15">
      <c r="B130" s="6" t="s">
        <v>586</v>
      </c>
      <c r="C130" s="6" t="s">
        <v>587</v>
      </c>
      <c r="D130" s="6" t="s">
        <v>588</v>
      </c>
      <c r="E130" s="5"/>
    </row>
    <row r="131" spans="2:5" x14ac:dyDescent="0.15">
      <c r="B131" s="6" t="s">
        <v>589</v>
      </c>
      <c r="C131" s="6" t="s">
        <v>590</v>
      </c>
      <c r="D131" s="6" t="s">
        <v>591</v>
      </c>
      <c r="E131" s="5" t="str">
        <f>HYPERLINK("https://www.esco-net.com/wcs/escort/ec/detail?hHinCd=EA552ET-20","EA552ET-20")</f>
        <v>EA552ET-20</v>
      </c>
    </row>
    <row r="132" spans="2:5" x14ac:dyDescent="0.15">
      <c r="B132" s="6" t="s">
        <v>589</v>
      </c>
      <c r="C132" s="6" t="s">
        <v>592</v>
      </c>
      <c r="D132" s="6" t="s">
        <v>593</v>
      </c>
      <c r="E132" s="5" t="str">
        <f>HYPERLINK("https://www.esco-net.com/wcs/escort/ec/detail?hHinCd=EA552ET-72","EA552ET-72")</f>
        <v>EA552ET-72</v>
      </c>
    </row>
    <row r="133" spans="2:5" x14ac:dyDescent="0.15">
      <c r="B133" s="6" t="s">
        <v>589</v>
      </c>
      <c r="C133" s="6" t="s">
        <v>594</v>
      </c>
      <c r="D133" s="6" t="s">
        <v>595</v>
      </c>
      <c r="E133" s="5" t="str">
        <f>HYPERLINK("https://www.esco-net.com/wcs/escort/ec/detail?hHinCd=EA560-100A","EA560-100A")</f>
        <v>EA560-100A</v>
      </c>
    </row>
    <row r="134" spans="2:5" x14ac:dyDescent="0.15">
      <c r="B134" s="6" t="s">
        <v>596</v>
      </c>
      <c r="C134" s="6" t="s">
        <v>597</v>
      </c>
      <c r="D134" s="6" t="s">
        <v>598</v>
      </c>
      <c r="E134" s="5"/>
    </row>
    <row r="135" spans="2:5" x14ac:dyDescent="0.15">
      <c r="B135" s="6" t="s">
        <v>596</v>
      </c>
      <c r="C135" s="6" t="s">
        <v>599</v>
      </c>
      <c r="D135" s="6" t="s">
        <v>600</v>
      </c>
      <c r="E135" s="5" t="str">
        <f>HYPERLINK("https://www.esco-net.com/wcs/escort/ec/detail?hHinCd=EA650BY-11","EA650BY-11")</f>
        <v>EA650BY-11</v>
      </c>
    </row>
    <row r="136" spans="2:5" x14ac:dyDescent="0.15">
      <c r="B136" s="6" t="s">
        <v>596</v>
      </c>
      <c r="C136" s="6" t="s">
        <v>601</v>
      </c>
      <c r="D136" s="6" t="s">
        <v>602</v>
      </c>
      <c r="E136" s="5" t="str">
        <f>HYPERLINK("https://www.esco-net.com/wcs/escort/ec/detail?hHinCd=EA650BY-13","EA650BY-13")</f>
        <v>EA650BY-13</v>
      </c>
    </row>
    <row r="137" spans="2:5" x14ac:dyDescent="0.15">
      <c r="B137" s="6" t="s">
        <v>603</v>
      </c>
      <c r="C137" s="6" t="s">
        <v>604</v>
      </c>
      <c r="D137" s="6" t="s">
        <v>605</v>
      </c>
      <c r="E137" s="5" t="str">
        <f>HYPERLINK("https://www.esco-net.com/wcs/escort/ec/detail?hHinCd=EA640ZE-12A","EA640ZE-12A")</f>
        <v>EA640ZE-12A</v>
      </c>
    </row>
    <row r="138" spans="2:5" x14ac:dyDescent="0.15">
      <c r="B138" s="6" t="s">
        <v>606</v>
      </c>
      <c r="C138" s="6" t="s">
        <v>607</v>
      </c>
      <c r="D138" s="6" t="s">
        <v>608</v>
      </c>
      <c r="E138" s="5" t="str">
        <f>HYPERLINK("https://www.esco-net.com/wcs/escort/ec/detail?hHinCd=EA903SA-2A","EA903SA-2A")</f>
        <v>EA903SA-2A</v>
      </c>
    </row>
    <row r="139" spans="2:5" x14ac:dyDescent="0.15">
      <c r="B139" s="6" t="s">
        <v>609</v>
      </c>
      <c r="C139" s="6" t="s">
        <v>610</v>
      </c>
      <c r="D139" s="6" t="s">
        <v>611</v>
      </c>
      <c r="E139" s="5" t="str">
        <f>HYPERLINK("https://www.esco-net.com/wcs/escort/ec/detail?hHinCd=EA597G-63","EA597G-63")</f>
        <v>EA597G-63</v>
      </c>
    </row>
    <row r="140" spans="2:5" x14ac:dyDescent="0.15">
      <c r="B140" s="6" t="s">
        <v>612</v>
      </c>
      <c r="C140" s="6" t="s">
        <v>613</v>
      </c>
      <c r="D140" s="6" t="s">
        <v>614</v>
      </c>
      <c r="E140" s="5" t="str">
        <f>HYPERLINK("https://www.esco-net.com/wcs/escort/ec/detail?hHinCd=EA539B","EA539B")</f>
        <v>EA539B</v>
      </c>
    </row>
    <row r="141" spans="2:5" x14ac:dyDescent="0.15">
      <c r="B141" s="6" t="s">
        <v>612</v>
      </c>
      <c r="C141" s="6" t="s">
        <v>615</v>
      </c>
      <c r="D141" s="6" t="s">
        <v>616</v>
      </c>
      <c r="E141" s="5"/>
    </row>
    <row r="142" spans="2:5" x14ac:dyDescent="0.15">
      <c r="B142" s="6" t="s">
        <v>612</v>
      </c>
      <c r="C142" s="6" t="s">
        <v>617</v>
      </c>
      <c r="D142" s="6" t="s">
        <v>618</v>
      </c>
      <c r="E142" s="5"/>
    </row>
    <row r="143" spans="2:5" x14ac:dyDescent="0.15">
      <c r="B143" s="6" t="s">
        <v>619</v>
      </c>
      <c r="C143" s="6" t="s">
        <v>620</v>
      </c>
      <c r="D143" s="6" t="s">
        <v>621</v>
      </c>
      <c r="E143" s="5" t="str">
        <f>HYPERLINK("https://www.esco-net.com/wcs/escort/ec/detail?hHinCd=EA585KC-165SA","EA585KC-165SA")</f>
        <v>EA585KC-165SA</v>
      </c>
    </row>
    <row r="144" spans="2:5" x14ac:dyDescent="0.15">
      <c r="B144" s="6" t="s">
        <v>79</v>
      </c>
      <c r="C144" s="6" t="s">
        <v>622</v>
      </c>
      <c r="D144" s="6" t="s">
        <v>623</v>
      </c>
      <c r="E144" s="5" t="str">
        <f>HYPERLINK("https://www.esco-net.com/wcs/escort/ec/detail?hHinCd=EA589E-16","EA589E-16")</f>
        <v>EA589E-16</v>
      </c>
    </row>
    <row r="145" spans="2:5" x14ac:dyDescent="0.15">
      <c r="B145" s="6" t="s">
        <v>624</v>
      </c>
      <c r="C145" s="6" t="s">
        <v>625</v>
      </c>
      <c r="D145" s="6" t="s">
        <v>626</v>
      </c>
      <c r="E145" s="5" t="str">
        <f>HYPERLINK("https://www.esco-net.com/wcs/escort/ec/detail?hHinCd=EA534KB-200","EA534KB-200")</f>
        <v>EA534KB-200</v>
      </c>
    </row>
    <row r="146" spans="2:5" x14ac:dyDescent="0.15">
      <c r="B146" s="6" t="s">
        <v>624</v>
      </c>
      <c r="C146" s="6" t="s">
        <v>627</v>
      </c>
      <c r="D146" s="6" t="s">
        <v>628</v>
      </c>
      <c r="E146" s="5" t="str">
        <f>HYPERLINK("https://www.esco-net.com/wcs/escort/ec/detail?hHinCd=EA534KB-180A","EA534KB-180A")</f>
        <v>EA534KB-180A</v>
      </c>
    </row>
    <row r="147" spans="2:5" x14ac:dyDescent="0.15">
      <c r="B147" s="6" t="s">
        <v>624</v>
      </c>
      <c r="C147" s="6" t="s">
        <v>629</v>
      </c>
      <c r="D147" s="6" t="s">
        <v>630</v>
      </c>
      <c r="E147" s="5" t="str">
        <f>HYPERLINK("https://www.esco-net.com/wcs/escort/ec/detail?hHinCd=EA534KB-225A","EA534KB-225A")</f>
        <v>EA534KB-225A</v>
      </c>
    </row>
    <row r="148" spans="2:5" x14ac:dyDescent="0.15">
      <c r="B148" s="6" t="s">
        <v>140</v>
      </c>
      <c r="C148" s="6" t="s">
        <v>631</v>
      </c>
      <c r="D148" s="6" t="s">
        <v>632</v>
      </c>
      <c r="E148" s="5" t="str">
        <f>HYPERLINK("https://www.esco-net.com/wcs/escort/ec/detail?hHinCd=EA577LC-2","EA577LC-2")</f>
        <v>EA577LC-2</v>
      </c>
    </row>
    <row r="149" spans="2:5" x14ac:dyDescent="0.15">
      <c r="B149" s="6" t="s">
        <v>13</v>
      </c>
      <c r="C149" s="6" t="s">
        <v>633</v>
      </c>
      <c r="D149" s="6" t="s">
        <v>634</v>
      </c>
      <c r="E149" s="5" t="str">
        <f>HYPERLINK("https://www.esco-net.com/wcs/escort/ec/detail?hHinCd=EA536SV-7","EA536SV-7")</f>
        <v>EA536SV-7</v>
      </c>
    </row>
    <row r="150" spans="2:5" x14ac:dyDescent="0.15">
      <c r="B150" s="6" t="s">
        <v>13</v>
      </c>
      <c r="C150" s="6" t="s">
        <v>635</v>
      </c>
      <c r="D150" s="6" t="s">
        <v>636</v>
      </c>
      <c r="E150" s="5" t="str">
        <f>HYPERLINK("https://www.esco-net.com/wcs/escort/ec/detail?hHinCd=EA536K-180","EA536K-180")</f>
        <v>EA536K-180</v>
      </c>
    </row>
    <row r="151" spans="2:5" x14ac:dyDescent="0.15">
      <c r="B151" s="6" t="s">
        <v>13</v>
      </c>
      <c r="C151" s="6" t="s">
        <v>637</v>
      </c>
      <c r="D151" s="6" t="s">
        <v>638</v>
      </c>
      <c r="E151" s="5" t="str">
        <f>HYPERLINK("https://www.esco-net.com/wcs/escort/ec/detail?hHinCd=EA536KF-200A","EA536KF-200A")</f>
        <v>EA536KF-200A</v>
      </c>
    </row>
    <row r="152" spans="2:5" x14ac:dyDescent="0.15">
      <c r="B152" s="6" t="s">
        <v>639</v>
      </c>
      <c r="C152" s="6" t="s">
        <v>640</v>
      </c>
      <c r="D152" s="6" t="s">
        <v>641</v>
      </c>
      <c r="E152" s="5" t="str">
        <f>HYPERLINK("https://www.esco-net.com/wcs/escort/ec/detail?hHinCd=EA682AA-80","EA682AA-80")</f>
        <v>EA682AA-80</v>
      </c>
    </row>
    <row r="153" spans="2:5" x14ac:dyDescent="0.15">
      <c r="B153" s="6" t="s">
        <v>639</v>
      </c>
      <c r="C153" s="6" t="s">
        <v>642</v>
      </c>
      <c r="D153" s="6" t="s">
        <v>643</v>
      </c>
      <c r="E153" s="5" t="str">
        <f>HYPERLINK("https://www.esco-net.com/wcs/escort/ec/detail?hHinCd=EA534DC-200","EA534DC-200")</f>
        <v>EA534DC-200</v>
      </c>
    </row>
    <row r="154" spans="2:5" x14ac:dyDescent="0.15">
      <c r="B154" s="6" t="s">
        <v>644</v>
      </c>
      <c r="C154" s="6" t="s">
        <v>645</v>
      </c>
      <c r="D154" s="6" t="s">
        <v>646</v>
      </c>
      <c r="E154" s="5" t="str">
        <f>HYPERLINK("https://www.esco-net.com/wcs/escort/ec/detail?hHinCd=EA536HD-42","EA536HD-42")</f>
        <v>EA536HD-42</v>
      </c>
    </row>
    <row r="155" spans="2:5" x14ac:dyDescent="0.15">
      <c r="B155" s="6" t="s">
        <v>647</v>
      </c>
      <c r="C155" s="6" t="s">
        <v>648</v>
      </c>
      <c r="D155" s="6" t="s">
        <v>649</v>
      </c>
      <c r="E155" s="5" t="str">
        <f>HYPERLINK("https://www.esco-net.com/wcs/escort/ec/detail?hHinCd=EA535K-1","EA535K-1")</f>
        <v>EA535K-1</v>
      </c>
    </row>
    <row r="156" spans="2:5" x14ac:dyDescent="0.15">
      <c r="B156" s="6" t="s">
        <v>650</v>
      </c>
      <c r="C156" s="6" t="s">
        <v>651</v>
      </c>
      <c r="D156" s="6" t="s">
        <v>652</v>
      </c>
      <c r="E156" s="5" t="str">
        <f>HYPERLINK("https://www.esco-net.com/wcs/escort/ec/detail?hHinCd=EA535KG-17","EA535KG-17")</f>
        <v>EA535KG-17</v>
      </c>
    </row>
    <row r="157" spans="2:5" x14ac:dyDescent="0.15">
      <c r="B157" s="6" t="s">
        <v>650</v>
      </c>
      <c r="C157" s="6" t="s">
        <v>653</v>
      </c>
      <c r="D157" s="6" t="s">
        <v>654</v>
      </c>
      <c r="E157" s="5"/>
    </row>
    <row r="158" spans="2:5" x14ac:dyDescent="0.15">
      <c r="B158" s="6" t="s">
        <v>655</v>
      </c>
      <c r="C158" s="6" t="s">
        <v>656</v>
      </c>
      <c r="D158" s="6" t="s">
        <v>657</v>
      </c>
      <c r="E158" s="5"/>
    </row>
    <row r="159" spans="2:5" x14ac:dyDescent="0.15">
      <c r="B159" s="6" t="s">
        <v>141</v>
      </c>
      <c r="C159" s="6" t="s">
        <v>658</v>
      </c>
      <c r="D159" s="6" t="s">
        <v>659</v>
      </c>
      <c r="E159" s="5" t="str">
        <f>HYPERLINK("https://www.esco-net.com/wcs/escort/ec/detail?hHinCd=EA532BJ-200","EA532BJ-200")</f>
        <v>EA532BJ-200</v>
      </c>
    </row>
    <row r="160" spans="2:5" x14ac:dyDescent="0.15">
      <c r="B160" s="6" t="s">
        <v>660</v>
      </c>
      <c r="C160" s="6" t="s">
        <v>661</v>
      </c>
      <c r="D160" s="6" t="s">
        <v>662</v>
      </c>
      <c r="E160" s="5"/>
    </row>
    <row r="161" spans="2:5" x14ac:dyDescent="0.15">
      <c r="B161" s="6" t="s">
        <v>663</v>
      </c>
      <c r="C161" s="6" t="s">
        <v>664</v>
      </c>
      <c r="D161" s="6" t="s">
        <v>665</v>
      </c>
      <c r="E161" s="5"/>
    </row>
    <row r="162" spans="2:5" x14ac:dyDescent="0.15">
      <c r="B162" s="6" t="s">
        <v>663</v>
      </c>
      <c r="C162" s="6" t="s">
        <v>666</v>
      </c>
      <c r="D162" s="6" t="s">
        <v>667</v>
      </c>
      <c r="E162" s="5" t="str">
        <f>HYPERLINK("https://www.esco-net.com/wcs/escort/ec/detail?hHinCd=EA812HB-71","EA812HB-71")</f>
        <v>EA812HB-71</v>
      </c>
    </row>
    <row r="163" spans="2:5" x14ac:dyDescent="0.15">
      <c r="B163" s="6" t="s">
        <v>142</v>
      </c>
      <c r="C163" s="6" t="s">
        <v>668</v>
      </c>
      <c r="D163" s="6" t="s">
        <v>143</v>
      </c>
      <c r="E163" s="5" t="str">
        <f>HYPERLINK("https://www.esco-net.com/wcs/escort/ec/detail?hHinCd=EA815YA-3","EA815YA-3")</f>
        <v>EA815YA-3</v>
      </c>
    </row>
    <row r="164" spans="2:5" x14ac:dyDescent="0.15">
      <c r="B164" s="6" t="s">
        <v>669</v>
      </c>
      <c r="C164" s="6" t="s">
        <v>670</v>
      </c>
      <c r="D164" s="6" t="s">
        <v>671</v>
      </c>
      <c r="E164" s="5" t="str">
        <f>HYPERLINK("https://www.esco-net.com/wcs/escort/ec/detail?hHinCd=EA812JA-22B","EA812JA-22B")</f>
        <v>EA812JA-22B</v>
      </c>
    </row>
    <row r="165" spans="2:5" x14ac:dyDescent="0.15">
      <c r="B165" s="6" t="s">
        <v>144</v>
      </c>
      <c r="C165" s="6" t="s">
        <v>672</v>
      </c>
      <c r="D165" s="6" t="s">
        <v>673</v>
      </c>
      <c r="E165" s="5" t="str">
        <f>HYPERLINK("https://www.esco-net.com/wcs/escort/ec/detail?hHinCd=EA812JA-33A","EA812JA-33A")</f>
        <v>EA812JA-33A</v>
      </c>
    </row>
    <row r="166" spans="2:5" x14ac:dyDescent="0.15">
      <c r="B166" s="6" t="s">
        <v>144</v>
      </c>
      <c r="C166" s="6" t="s">
        <v>674</v>
      </c>
      <c r="D166" s="6" t="s">
        <v>675</v>
      </c>
      <c r="E166" s="5" t="str">
        <f>HYPERLINK("https://www.esco-net.com/wcs/escort/ec/detail?hHinCd=EA812JD-11B","EA812JD-11B")</f>
        <v>EA812JD-11B</v>
      </c>
    </row>
    <row r="167" spans="2:5" x14ac:dyDescent="0.15">
      <c r="B167" s="6" t="s">
        <v>676</v>
      </c>
      <c r="C167" s="6" t="s">
        <v>677</v>
      </c>
      <c r="D167" s="6" t="s">
        <v>678</v>
      </c>
      <c r="E167" s="5" t="str">
        <f>HYPERLINK("https://www.esco-net.com/wcs/escort/ec/detail?hHinCd=EA983FS-52A","EA983FS-52A")</f>
        <v>EA983FS-52A</v>
      </c>
    </row>
    <row r="168" spans="2:5" x14ac:dyDescent="0.15">
      <c r="B168" s="6" t="s">
        <v>145</v>
      </c>
      <c r="C168" s="6" t="s">
        <v>679</v>
      </c>
      <c r="D168" s="6" t="s">
        <v>680</v>
      </c>
      <c r="E168" s="5" t="str">
        <f>HYPERLINK("https://www.esco-net.com/wcs/escort/ec/detail?hHinCd=EA812JY-111","EA812JY-111")</f>
        <v>EA812JY-111</v>
      </c>
    </row>
    <row r="169" spans="2:5" x14ac:dyDescent="0.15">
      <c r="B169" s="6" t="s">
        <v>145</v>
      </c>
      <c r="C169" s="6" t="s">
        <v>681</v>
      </c>
      <c r="D169" s="6" t="s">
        <v>682</v>
      </c>
      <c r="E169" s="5"/>
    </row>
    <row r="170" spans="2:5" x14ac:dyDescent="0.15">
      <c r="B170" s="6" t="s">
        <v>145</v>
      </c>
      <c r="C170" s="6" t="s">
        <v>683</v>
      </c>
      <c r="D170" s="6" t="s">
        <v>684</v>
      </c>
      <c r="E170" s="5"/>
    </row>
    <row r="171" spans="2:5" x14ac:dyDescent="0.15">
      <c r="B171" s="6" t="s">
        <v>685</v>
      </c>
      <c r="C171" s="6" t="s">
        <v>686</v>
      </c>
      <c r="D171" s="6" t="s">
        <v>687</v>
      </c>
      <c r="E171" s="5" t="str">
        <f>HYPERLINK("https://www.esco-net.com/wcs/escort/ec/detail?hHinCd=EA707DC-3","EA707DC-3")</f>
        <v>EA707DC-3</v>
      </c>
    </row>
    <row r="172" spans="2:5" x14ac:dyDescent="0.15">
      <c r="B172" s="6" t="s">
        <v>685</v>
      </c>
      <c r="C172" s="6" t="s">
        <v>688</v>
      </c>
      <c r="D172" s="6" t="s">
        <v>689</v>
      </c>
      <c r="E172" s="5" t="str">
        <f>HYPERLINK("https://www.esco-net.com/wcs/escort/ec/detail?hHinCd=EA812HF-7","EA812HF-7")</f>
        <v>EA812HF-7</v>
      </c>
    </row>
    <row r="173" spans="2:5" x14ac:dyDescent="0.15">
      <c r="B173" s="6" t="s">
        <v>690</v>
      </c>
      <c r="C173" s="6" t="s">
        <v>691</v>
      </c>
      <c r="D173" s="6" t="s">
        <v>692</v>
      </c>
      <c r="E173" s="5" t="str">
        <f>HYPERLINK("https://www.esco-net.com/wcs/escort/ec/detail?hHinCd=EA514BA-26","EA514BA-26")</f>
        <v>EA514BA-26</v>
      </c>
    </row>
    <row r="174" spans="2:5" x14ac:dyDescent="0.15">
      <c r="B174" s="6" t="s">
        <v>693</v>
      </c>
      <c r="C174" s="6" t="s">
        <v>694</v>
      </c>
      <c r="D174" s="6" t="s">
        <v>695</v>
      </c>
      <c r="E174" s="5" t="str">
        <f>HYPERLINK("https://www.esco-net.com/wcs/escort/ec/detail?hHinCd=EA922AE-14","EA922AE-14")</f>
        <v>EA922AE-14</v>
      </c>
    </row>
    <row r="175" spans="2:5" x14ac:dyDescent="0.15">
      <c r="B175" s="6" t="s">
        <v>80</v>
      </c>
      <c r="C175" s="6" t="s">
        <v>696</v>
      </c>
      <c r="D175" s="6" t="s">
        <v>697</v>
      </c>
      <c r="E175" s="5" t="str">
        <f>HYPERLINK("https://www.esco-net.com/wcs/escort/ec/detail?hHinCd=EA934ZA-21","EA934ZA-21")</f>
        <v>EA934ZA-21</v>
      </c>
    </row>
    <row r="176" spans="2:5" x14ac:dyDescent="0.15">
      <c r="B176" s="6" t="s">
        <v>80</v>
      </c>
      <c r="C176" s="6" t="s">
        <v>698</v>
      </c>
      <c r="D176" s="6" t="s">
        <v>699</v>
      </c>
      <c r="E176" s="5" t="str">
        <f>HYPERLINK("https://www.esco-net.com/wcs/escort/ec/detail?hHinCd=EA934ZA-22","EA934ZA-22")</f>
        <v>EA934ZA-22</v>
      </c>
    </row>
    <row r="177" spans="2:5" x14ac:dyDescent="0.15">
      <c r="B177" s="6" t="s">
        <v>80</v>
      </c>
      <c r="C177" s="6" t="s">
        <v>700</v>
      </c>
      <c r="D177" s="6" t="s">
        <v>701</v>
      </c>
      <c r="E177" s="5" t="str">
        <f>HYPERLINK("https://www.esco-net.com/wcs/escort/ec/detail?hHinCd=EA934ZA-23","EA934ZA-23")</f>
        <v>EA934ZA-23</v>
      </c>
    </row>
    <row r="178" spans="2:5" x14ac:dyDescent="0.15">
      <c r="B178" s="6" t="s">
        <v>702</v>
      </c>
      <c r="C178" s="6" t="s">
        <v>703</v>
      </c>
      <c r="D178" s="6" t="s">
        <v>704</v>
      </c>
      <c r="E178" s="5"/>
    </row>
    <row r="179" spans="2:5" x14ac:dyDescent="0.15">
      <c r="B179" s="6" t="s">
        <v>702</v>
      </c>
      <c r="C179" s="6" t="s">
        <v>705</v>
      </c>
      <c r="D179" s="6" t="s">
        <v>706</v>
      </c>
      <c r="E179" s="5" t="str">
        <f>HYPERLINK("https://www.esco-net.com/wcs/escort/ec/detail?hHinCd=EA993CS-32","EA993CS-32")</f>
        <v>EA993CS-32</v>
      </c>
    </row>
    <row r="180" spans="2:5" x14ac:dyDescent="0.15">
      <c r="B180" s="6" t="s">
        <v>146</v>
      </c>
      <c r="C180" s="6" t="s">
        <v>707</v>
      </c>
      <c r="D180" s="6" t="s">
        <v>708</v>
      </c>
      <c r="E180" s="5" t="str">
        <f>HYPERLINK("https://www.esco-net.com/wcs/escort/ec/detail?hHinCd=EA926C-1","EA926C-1")</f>
        <v>EA926C-1</v>
      </c>
    </row>
    <row r="181" spans="2:5" x14ac:dyDescent="0.15">
      <c r="B181" s="6" t="s">
        <v>709</v>
      </c>
      <c r="C181" s="6" t="s">
        <v>710</v>
      </c>
      <c r="D181" s="6" t="s">
        <v>711</v>
      </c>
      <c r="E181" s="5"/>
    </row>
    <row r="182" spans="2:5" x14ac:dyDescent="0.15">
      <c r="B182" s="6" t="s">
        <v>712</v>
      </c>
      <c r="C182" s="6" t="s">
        <v>713</v>
      </c>
      <c r="D182" s="6" t="s">
        <v>714</v>
      </c>
      <c r="E182" s="5" t="str">
        <f>HYPERLINK("https://www.esco-net.com/wcs/escort/ec/detail?hHinCd=EA514AC-19","EA514AC-19")</f>
        <v>EA514AC-19</v>
      </c>
    </row>
    <row r="183" spans="2:5" x14ac:dyDescent="0.15">
      <c r="B183" s="6" t="s">
        <v>715</v>
      </c>
      <c r="C183" s="6" t="s">
        <v>716</v>
      </c>
      <c r="D183" s="6" t="s">
        <v>717</v>
      </c>
      <c r="E183" s="5"/>
    </row>
    <row r="184" spans="2:5" x14ac:dyDescent="0.15">
      <c r="B184" s="6" t="s">
        <v>718</v>
      </c>
      <c r="C184" s="6" t="s">
        <v>719</v>
      </c>
      <c r="D184" s="6" t="s">
        <v>720</v>
      </c>
      <c r="E184" s="5" t="str">
        <f>HYPERLINK("https://www.esco-net.com/wcs/escort/ec/detail?hHinCd=EA604AH-26","EA604AH-26")</f>
        <v>EA604AH-26</v>
      </c>
    </row>
    <row r="185" spans="2:5" x14ac:dyDescent="0.15">
      <c r="B185" s="6" t="s">
        <v>14</v>
      </c>
      <c r="C185" s="6" t="s">
        <v>721</v>
      </c>
      <c r="D185" s="6" t="s">
        <v>722</v>
      </c>
      <c r="E185" s="5" t="str">
        <f>HYPERLINK("https://www.esco-net.com/wcs/escort/ec/detail?hHinCd=EA510ZD-10","EA510ZD-10")</f>
        <v>EA510ZD-10</v>
      </c>
    </row>
    <row r="186" spans="2:5" x14ac:dyDescent="0.15">
      <c r="B186" s="6" t="s">
        <v>723</v>
      </c>
      <c r="C186" s="6" t="s">
        <v>724</v>
      </c>
      <c r="D186" s="6" t="s">
        <v>725</v>
      </c>
      <c r="E186" s="5" t="str">
        <f>HYPERLINK("https://www.esco-net.com/wcs/escort/ec/detail?hHinCd=EA525GA-1","EA525GA-1")</f>
        <v>EA525GA-1</v>
      </c>
    </row>
    <row r="187" spans="2:5" x14ac:dyDescent="0.15">
      <c r="B187" s="6" t="s">
        <v>723</v>
      </c>
      <c r="C187" s="6" t="s">
        <v>726</v>
      </c>
      <c r="D187" s="6" t="s">
        <v>727</v>
      </c>
      <c r="E187" s="5" t="str">
        <f>HYPERLINK("https://www.esco-net.com/wcs/escort/ec/detail?hHinCd=EA525X-43","EA525X-43")</f>
        <v>EA525X-43</v>
      </c>
    </row>
    <row r="188" spans="2:5" x14ac:dyDescent="0.15">
      <c r="B188" s="6" t="s">
        <v>147</v>
      </c>
      <c r="C188" s="6" t="s">
        <v>728</v>
      </c>
      <c r="D188" s="6" t="s">
        <v>729</v>
      </c>
      <c r="E188" s="5" t="str">
        <f>HYPERLINK("https://www.esco-net.com/wcs/escort/ec/detail?hHinCd=EA519AE-150","EA519AE-150")</f>
        <v>EA519AE-150</v>
      </c>
    </row>
    <row r="189" spans="2:5" x14ac:dyDescent="0.15">
      <c r="B189" s="6" t="s">
        <v>730</v>
      </c>
      <c r="C189" s="6" t="s">
        <v>731</v>
      </c>
      <c r="D189" s="6" t="s">
        <v>732</v>
      </c>
      <c r="E189" s="5" t="str">
        <f>HYPERLINK("https://www.esco-net.com/wcs/escort/ec/detail?hHinCd=EA604DH-22","EA604DH-22")</f>
        <v>EA604DH-22</v>
      </c>
    </row>
    <row r="190" spans="2:5" x14ac:dyDescent="0.15">
      <c r="B190" s="6" t="s">
        <v>733</v>
      </c>
      <c r="C190" s="6" t="s">
        <v>734</v>
      </c>
      <c r="D190" s="6" t="s">
        <v>735</v>
      </c>
      <c r="E190" s="5" t="str">
        <f>HYPERLINK("https://www.esco-net.com/wcs/escort/ec/detail?hHinCd=EA524BA","EA524BA")</f>
        <v>EA524BA</v>
      </c>
    </row>
    <row r="191" spans="2:5" x14ac:dyDescent="0.15">
      <c r="B191" s="6" t="s">
        <v>733</v>
      </c>
      <c r="C191" s="6" t="s">
        <v>736</v>
      </c>
      <c r="D191" s="6" t="s">
        <v>737</v>
      </c>
      <c r="E191" s="5" t="str">
        <f>HYPERLINK("https://www.esco-net.com/wcs/escort/ec/detail?hHinCd=EA598BD-2","EA598BD-2")</f>
        <v>EA598BD-2</v>
      </c>
    </row>
    <row r="192" spans="2:5" x14ac:dyDescent="0.15">
      <c r="B192" s="6" t="s">
        <v>738</v>
      </c>
      <c r="C192" s="6" t="s">
        <v>739</v>
      </c>
      <c r="D192" s="6" t="s">
        <v>740</v>
      </c>
      <c r="E192" s="5" t="str">
        <f>HYPERLINK("https://www.esco-net.com/wcs/escort/ec/detail?hHinCd=EA584BC-2A","EA584BC-2A")</f>
        <v>EA584BC-2A</v>
      </c>
    </row>
    <row r="193" spans="2:5" x14ac:dyDescent="0.15">
      <c r="B193" s="6" t="s">
        <v>741</v>
      </c>
      <c r="C193" s="6" t="s">
        <v>742</v>
      </c>
      <c r="D193" s="6" t="s">
        <v>743</v>
      </c>
      <c r="E193" s="5"/>
    </row>
    <row r="194" spans="2:5" x14ac:dyDescent="0.15">
      <c r="B194" s="6" t="s">
        <v>148</v>
      </c>
      <c r="C194" s="6" t="s">
        <v>744</v>
      </c>
      <c r="D194" s="6" t="s">
        <v>745</v>
      </c>
      <c r="E194" s="5" t="str">
        <f>HYPERLINK("https://www.esco-net.com/wcs/escort/ec/detail?hHinCd=EA949VS-108","EA949VS-108")</f>
        <v>EA949VS-108</v>
      </c>
    </row>
    <row r="195" spans="2:5" x14ac:dyDescent="0.15">
      <c r="B195" s="6" t="s">
        <v>149</v>
      </c>
      <c r="C195" s="6" t="s">
        <v>746</v>
      </c>
      <c r="D195" s="6" t="s">
        <v>747</v>
      </c>
      <c r="E195" s="5" t="str">
        <f>HYPERLINK("https://www.esco-net.com/wcs/escort/ec/detail?hHinCd=EA928AH-31","EA928AH-31")</f>
        <v>EA928AH-31</v>
      </c>
    </row>
    <row r="196" spans="2:5" x14ac:dyDescent="0.15">
      <c r="B196" s="6" t="s">
        <v>748</v>
      </c>
      <c r="C196" s="6" t="s">
        <v>749</v>
      </c>
      <c r="D196" s="6" t="s">
        <v>750</v>
      </c>
      <c r="E196" s="5"/>
    </row>
    <row r="197" spans="2:5" x14ac:dyDescent="0.15">
      <c r="B197" s="6" t="s">
        <v>748</v>
      </c>
      <c r="C197" s="6" t="s">
        <v>751</v>
      </c>
      <c r="D197" s="6" t="s">
        <v>752</v>
      </c>
      <c r="E197" s="5" t="str">
        <f>HYPERLINK("https://www.esco-net.com/wcs/escort/ec/detail?hHinCd=EA922JV-1","EA922JV-1")</f>
        <v>EA922JV-1</v>
      </c>
    </row>
    <row r="198" spans="2:5" x14ac:dyDescent="0.15">
      <c r="B198" s="6" t="s">
        <v>150</v>
      </c>
      <c r="C198" s="6" t="s">
        <v>753</v>
      </c>
      <c r="D198" s="6" t="s">
        <v>754</v>
      </c>
      <c r="E198" s="5" t="str">
        <f>HYPERLINK("https://www.esco-net.com/wcs/escort/ec/detail?hHinCd=EA920AN-11","EA920AN-11")</f>
        <v>EA920AN-11</v>
      </c>
    </row>
    <row r="199" spans="2:5" x14ac:dyDescent="0.15">
      <c r="B199" s="6" t="s">
        <v>150</v>
      </c>
      <c r="C199" s="6" t="s">
        <v>755</v>
      </c>
      <c r="D199" s="6" t="s">
        <v>756</v>
      </c>
      <c r="E199" s="5" t="str">
        <f>HYPERLINK("https://www.esco-net.com/wcs/escort/ec/detail?hHinCd=EA922JK-9","EA922JK-9")</f>
        <v>EA922JK-9</v>
      </c>
    </row>
    <row r="200" spans="2:5" x14ac:dyDescent="0.15">
      <c r="B200" s="6" t="s">
        <v>757</v>
      </c>
      <c r="C200" s="6" t="s">
        <v>758</v>
      </c>
      <c r="D200" s="6" t="s">
        <v>759</v>
      </c>
      <c r="E200" s="5"/>
    </row>
    <row r="201" spans="2:5" x14ac:dyDescent="0.15">
      <c r="B201" s="6" t="s">
        <v>757</v>
      </c>
      <c r="C201" s="6" t="s">
        <v>760</v>
      </c>
      <c r="D201" s="6" t="s">
        <v>761</v>
      </c>
      <c r="E201" s="5"/>
    </row>
    <row r="202" spans="2:5" x14ac:dyDescent="0.15">
      <c r="B202" s="6" t="s">
        <v>757</v>
      </c>
      <c r="C202" s="6" t="s">
        <v>762</v>
      </c>
      <c r="D202" s="6" t="s">
        <v>763</v>
      </c>
      <c r="E202" s="5" t="str">
        <f>HYPERLINK("https://www.esco-net.com/wcs/escort/ec/detail?hHinCd=EA922JH-24","EA922JH-24")</f>
        <v>EA922JH-24</v>
      </c>
    </row>
    <row r="203" spans="2:5" x14ac:dyDescent="0.15">
      <c r="B203" s="6" t="s">
        <v>764</v>
      </c>
      <c r="C203" s="6" t="s">
        <v>765</v>
      </c>
      <c r="D203" s="6" t="s">
        <v>766</v>
      </c>
      <c r="E203" s="5" t="str">
        <f>HYPERLINK("https://www.esco-net.com/wcs/escort/ec/detail?hHinCd=EA613XE-2","EA613XE-2")</f>
        <v>EA613XE-2</v>
      </c>
    </row>
    <row r="204" spans="2:5" x14ac:dyDescent="0.15">
      <c r="B204" s="6" t="s">
        <v>764</v>
      </c>
      <c r="C204" s="6" t="s">
        <v>767</v>
      </c>
      <c r="D204" s="6" t="s">
        <v>768</v>
      </c>
      <c r="E204" s="5" t="str">
        <f>HYPERLINK("https://www.esco-net.com/wcs/escort/ec/detail?hHinCd=EA613XE-3","EA613XE-3")</f>
        <v>EA613XE-3</v>
      </c>
    </row>
    <row r="205" spans="2:5" x14ac:dyDescent="0.15">
      <c r="B205" s="6" t="s">
        <v>151</v>
      </c>
      <c r="C205" s="6" t="s">
        <v>769</v>
      </c>
      <c r="D205" s="6" t="s">
        <v>770</v>
      </c>
      <c r="E205" s="5" t="str">
        <f>HYPERLINK("https://www.esco-net.com/wcs/escort/ec/detail?hHinCd=EA614BS-13","EA614BS-13")</f>
        <v>EA614BS-13</v>
      </c>
    </row>
    <row r="206" spans="2:5" x14ac:dyDescent="0.15">
      <c r="B206" s="6" t="s">
        <v>32</v>
      </c>
      <c r="C206" s="6" t="s">
        <v>771</v>
      </c>
      <c r="D206" s="6" t="s">
        <v>772</v>
      </c>
      <c r="E206" s="5"/>
    </row>
    <row r="207" spans="2:5" x14ac:dyDescent="0.15">
      <c r="B207" s="6" t="s">
        <v>32</v>
      </c>
      <c r="C207" s="6" t="s">
        <v>773</v>
      </c>
      <c r="D207" s="6" t="s">
        <v>774</v>
      </c>
      <c r="E207" s="5"/>
    </row>
    <row r="208" spans="2:5" x14ac:dyDescent="0.15">
      <c r="B208" s="6" t="s">
        <v>32</v>
      </c>
      <c r="C208" s="6" t="s">
        <v>775</v>
      </c>
      <c r="D208" s="6" t="s">
        <v>776</v>
      </c>
      <c r="E208" s="5"/>
    </row>
    <row r="209" spans="2:5" x14ac:dyDescent="0.15">
      <c r="B209" s="6" t="s">
        <v>777</v>
      </c>
      <c r="C209" s="6" t="s">
        <v>778</v>
      </c>
      <c r="D209" s="6" t="s">
        <v>779</v>
      </c>
      <c r="E209" s="5" t="str">
        <f>HYPERLINK("https://www.esco-net.com/wcs/escort/ec/detail?hHinCd=EA612TA-33","EA612TA-33")</f>
        <v>EA612TA-33</v>
      </c>
    </row>
    <row r="210" spans="2:5" x14ac:dyDescent="0.15">
      <c r="B210" s="6" t="s">
        <v>780</v>
      </c>
      <c r="C210" s="6" t="s">
        <v>781</v>
      </c>
      <c r="D210" s="6" t="s">
        <v>782</v>
      </c>
      <c r="E210" s="5"/>
    </row>
    <row r="211" spans="2:5" x14ac:dyDescent="0.15">
      <c r="B211" s="6" t="s">
        <v>783</v>
      </c>
      <c r="C211" s="6" t="s">
        <v>784</v>
      </c>
      <c r="D211" s="6" t="s">
        <v>785</v>
      </c>
      <c r="E211" s="5"/>
    </row>
    <row r="212" spans="2:5" x14ac:dyDescent="0.15">
      <c r="B212" s="6" t="s">
        <v>786</v>
      </c>
      <c r="C212" s="6" t="s">
        <v>787</v>
      </c>
      <c r="D212" s="6" t="s">
        <v>788</v>
      </c>
      <c r="E212" s="5" t="str">
        <f>HYPERLINK("https://www.esco-net.com/wcs/escort/ec/detail?hHinCd=EA617AM-606","EA617AM-606")</f>
        <v>EA617AM-606</v>
      </c>
    </row>
    <row r="213" spans="2:5" x14ac:dyDescent="0.15">
      <c r="B213" s="6" t="s">
        <v>81</v>
      </c>
      <c r="C213" s="6" t="s">
        <v>789</v>
      </c>
      <c r="D213" s="6" t="s">
        <v>790</v>
      </c>
      <c r="E213" s="5" t="str">
        <f>HYPERLINK("https://www.esco-net.com/wcs/escort/ec/detail?hHinCd=EA617GT-104B","EA617GT-104B")</f>
        <v>EA617GT-104B</v>
      </c>
    </row>
    <row r="214" spans="2:5" x14ac:dyDescent="0.15">
      <c r="B214" s="6" t="s">
        <v>81</v>
      </c>
      <c r="C214" s="6" t="s">
        <v>791</v>
      </c>
      <c r="D214" s="6" t="s">
        <v>792</v>
      </c>
      <c r="E214" s="5"/>
    </row>
    <row r="215" spans="2:5" x14ac:dyDescent="0.15">
      <c r="B215" s="6" t="s">
        <v>793</v>
      </c>
      <c r="C215" s="6" t="s">
        <v>794</v>
      </c>
      <c r="D215" s="6" t="s">
        <v>795</v>
      </c>
      <c r="E215" s="5" t="str">
        <f>HYPERLINK("https://www.esco-net.com/wcs/escort/ec/detail?hHinCd=EA687YA-22A","EA687YA-22A")</f>
        <v>EA687YA-22A</v>
      </c>
    </row>
    <row r="216" spans="2:5" x14ac:dyDescent="0.15">
      <c r="B216" s="6" t="s">
        <v>796</v>
      </c>
      <c r="C216" s="6" t="s">
        <v>797</v>
      </c>
      <c r="D216" s="6" t="s">
        <v>798</v>
      </c>
      <c r="E216" s="5" t="str">
        <f>HYPERLINK("https://www.esco-net.com/wcs/escort/ec/detail?hHinCd=EA687YA-14A","EA687YA-14A")</f>
        <v>EA687YA-14A</v>
      </c>
    </row>
    <row r="217" spans="2:5" x14ac:dyDescent="0.15">
      <c r="B217" s="6" t="s">
        <v>799</v>
      </c>
      <c r="C217" s="6" t="s">
        <v>800</v>
      </c>
      <c r="D217" s="6" t="s">
        <v>801</v>
      </c>
      <c r="E217" s="5" t="str">
        <f>HYPERLINK("https://www.esco-net.com/wcs/escort/ec/detail?hHinCd=EA687AR-1","EA687AR-1")</f>
        <v>EA687AR-1</v>
      </c>
    </row>
    <row r="218" spans="2:5" x14ac:dyDescent="0.15">
      <c r="B218" s="6" t="s">
        <v>802</v>
      </c>
      <c r="C218" s="6" t="s">
        <v>803</v>
      </c>
      <c r="D218" s="6" t="s">
        <v>804</v>
      </c>
      <c r="E218" s="5" t="str">
        <f>HYPERLINK("https://www.esco-net.com/wcs/escort/ec/detail?hHinCd=EA614LP-14","EA614LP-14")</f>
        <v>EA614LP-14</v>
      </c>
    </row>
    <row r="219" spans="2:5" x14ac:dyDescent="0.15">
      <c r="B219" s="6" t="s">
        <v>805</v>
      </c>
      <c r="C219" s="6" t="s">
        <v>806</v>
      </c>
      <c r="D219" s="6" t="s">
        <v>807</v>
      </c>
      <c r="E219" s="5"/>
    </row>
    <row r="220" spans="2:5" x14ac:dyDescent="0.15">
      <c r="B220" s="6" t="s">
        <v>153</v>
      </c>
      <c r="C220" s="6" t="s">
        <v>808</v>
      </c>
      <c r="D220" s="6" t="s">
        <v>809</v>
      </c>
      <c r="E220" s="5" t="str">
        <f>HYPERLINK("https://www.esco-net.com/wcs/escort/ec/detail?hHinCd=EA602KB-80","EA602KB-80")</f>
        <v>EA602KB-80</v>
      </c>
    </row>
    <row r="221" spans="2:5" x14ac:dyDescent="0.15">
      <c r="B221" s="6" t="s">
        <v>153</v>
      </c>
      <c r="C221" s="6" t="s">
        <v>810</v>
      </c>
      <c r="D221" s="6" t="s">
        <v>811</v>
      </c>
      <c r="E221" s="5" t="str">
        <f>HYPERLINK("https://www.esco-net.com/wcs/escort/ec/detail?hHinCd=EA602SE-10","EA602SE-10")</f>
        <v>EA602SE-10</v>
      </c>
    </row>
    <row r="222" spans="2:5" x14ac:dyDescent="0.15">
      <c r="B222" s="6" t="s">
        <v>812</v>
      </c>
      <c r="C222" s="6" t="s">
        <v>813</v>
      </c>
      <c r="D222" s="6" t="s">
        <v>814</v>
      </c>
      <c r="E222" s="5" t="str">
        <f>HYPERLINK("https://www.esco-net.com/wcs/escort/ec/detail?hHinCd=EA612SB-13A","EA612SB-13A")</f>
        <v>EA612SB-13A</v>
      </c>
    </row>
    <row r="223" spans="2:5" x14ac:dyDescent="0.15">
      <c r="B223" s="6" t="s">
        <v>154</v>
      </c>
      <c r="C223" s="6" t="s">
        <v>815</v>
      </c>
      <c r="D223" s="6" t="s">
        <v>816</v>
      </c>
      <c r="E223" s="5"/>
    </row>
    <row r="224" spans="2:5" x14ac:dyDescent="0.15">
      <c r="B224" s="6" t="s">
        <v>817</v>
      </c>
      <c r="C224" s="6" t="s">
        <v>818</v>
      </c>
      <c r="D224" s="6" t="s">
        <v>819</v>
      </c>
      <c r="E224" s="5"/>
    </row>
    <row r="225" spans="2:5" x14ac:dyDescent="0.15">
      <c r="B225" s="6" t="s">
        <v>820</v>
      </c>
      <c r="C225" s="6" t="s">
        <v>821</v>
      </c>
      <c r="D225" s="6" t="s">
        <v>822</v>
      </c>
      <c r="E225" s="5"/>
    </row>
    <row r="226" spans="2:5" x14ac:dyDescent="0.15">
      <c r="B226" s="6" t="s">
        <v>33</v>
      </c>
      <c r="C226" s="6" t="s">
        <v>823</v>
      </c>
      <c r="D226" s="6" t="s">
        <v>824</v>
      </c>
      <c r="E226" s="5" t="str">
        <f>HYPERLINK("https://www.esco-net.com/wcs/escort/ec/detail?hHinCd=EA618P-4A","EA618P-4A")</f>
        <v>EA618P-4A</v>
      </c>
    </row>
    <row r="227" spans="2:5" x14ac:dyDescent="0.15">
      <c r="B227" s="6" t="s">
        <v>825</v>
      </c>
      <c r="C227" s="6" t="s">
        <v>826</v>
      </c>
      <c r="D227" s="6" t="s">
        <v>827</v>
      </c>
      <c r="E227" s="5"/>
    </row>
    <row r="228" spans="2:5" x14ac:dyDescent="0.15">
      <c r="B228" s="6" t="s">
        <v>828</v>
      </c>
      <c r="C228" s="6" t="s">
        <v>829</v>
      </c>
      <c r="D228" s="6" t="s">
        <v>830</v>
      </c>
      <c r="E228" s="5" t="str">
        <f>HYPERLINK("https://www.esco-net.com/wcs/escort/ec/detail?hHinCd=EA618PM-106","EA618PM-106")</f>
        <v>EA618PM-106</v>
      </c>
    </row>
    <row r="229" spans="2:5" x14ac:dyDescent="0.15">
      <c r="B229" s="6" t="s">
        <v>828</v>
      </c>
      <c r="C229" s="6" t="s">
        <v>831</v>
      </c>
      <c r="D229" s="6" t="s">
        <v>832</v>
      </c>
      <c r="E229" s="5" t="str">
        <f>HYPERLINK("https://www.esco-net.com/wcs/escort/ec/detail?hHinCd=EA618CP-5","EA618CP-5")</f>
        <v>EA618CP-5</v>
      </c>
    </row>
    <row r="230" spans="2:5" x14ac:dyDescent="0.15">
      <c r="B230" s="6" t="s">
        <v>833</v>
      </c>
      <c r="C230" s="6" t="s">
        <v>834</v>
      </c>
      <c r="D230" s="6" t="s">
        <v>835</v>
      </c>
      <c r="E230" s="5"/>
    </row>
    <row r="231" spans="2:5" x14ac:dyDescent="0.15">
      <c r="B231" s="6" t="s">
        <v>836</v>
      </c>
      <c r="C231" s="6" t="s">
        <v>837</v>
      </c>
      <c r="D231" s="6" t="s">
        <v>838</v>
      </c>
      <c r="E231" s="5" t="str">
        <f>HYPERLINK("https://www.esco-net.com/wcs/escort/ec/detail?hHinCd=EA687AT-8","EA687AT-8")</f>
        <v>EA687AT-8</v>
      </c>
    </row>
    <row r="232" spans="2:5" x14ac:dyDescent="0.15">
      <c r="B232" s="6" t="s">
        <v>839</v>
      </c>
      <c r="C232" s="6" t="s">
        <v>840</v>
      </c>
      <c r="D232" s="6" t="s">
        <v>824</v>
      </c>
      <c r="E232" s="5" t="str">
        <f>HYPERLINK("https://www.esco-net.com/wcs/escort/ec/detail?hHinCd=EA618J-6","EA618J-6")</f>
        <v>EA618J-6</v>
      </c>
    </row>
    <row r="233" spans="2:5" x14ac:dyDescent="0.15">
      <c r="B233" s="6" t="s">
        <v>839</v>
      </c>
      <c r="C233" s="6" t="s">
        <v>841</v>
      </c>
      <c r="D233" s="6" t="s">
        <v>842</v>
      </c>
      <c r="E233" s="5"/>
    </row>
    <row r="234" spans="2:5" x14ac:dyDescent="0.15">
      <c r="B234" s="6" t="s">
        <v>843</v>
      </c>
      <c r="C234" s="6" t="s">
        <v>844</v>
      </c>
      <c r="D234" s="6" t="s">
        <v>845</v>
      </c>
      <c r="E234" s="5" t="str">
        <f>HYPERLINK("https://www.esco-net.com/wcs/escort/ec/detail?hHinCd=EA618PM-112","EA618PM-112")</f>
        <v>EA618PM-112</v>
      </c>
    </row>
    <row r="235" spans="2:5" x14ac:dyDescent="0.15">
      <c r="B235" s="6" t="s">
        <v>846</v>
      </c>
      <c r="C235" s="6" t="s">
        <v>847</v>
      </c>
      <c r="D235" s="6" t="s">
        <v>848</v>
      </c>
      <c r="E235" s="5" t="str">
        <f>HYPERLINK("https://www.esco-net.com/wcs/escort/ec/detail?hHinCd=EA618K-5","EA618K-5")</f>
        <v>EA618K-5</v>
      </c>
    </row>
    <row r="236" spans="2:5" x14ac:dyDescent="0.15">
      <c r="B236" s="6" t="s">
        <v>849</v>
      </c>
      <c r="C236" s="6" t="s">
        <v>850</v>
      </c>
      <c r="D236" s="6" t="s">
        <v>851</v>
      </c>
      <c r="E236" s="5" t="str">
        <f>HYPERLINK("https://www.esco-net.com/wcs/escort/ec/detail?hHinCd=EA618KN-12","EA618KN-12")</f>
        <v>EA618KN-12</v>
      </c>
    </row>
    <row r="237" spans="2:5" x14ac:dyDescent="0.15">
      <c r="B237" s="6" t="s">
        <v>849</v>
      </c>
      <c r="C237" s="6" t="s">
        <v>852</v>
      </c>
      <c r="D237" s="6" t="s">
        <v>853</v>
      </c>
      <c r="E237" s="5" t="str">
        <f>HYPERLINK("https://www.esco-net.com/wcs/escort/ec/detail?hHinCd=EA618KN-17","EA618KN-17")</f>
        <v>EA618KN-17</v>
      </c>
    </row>
    <row r="238" spans="2:5" x14ac:dyDescent="0.15">
      <c r="B238" s="6" t="s">
        <v>854</v>
      </c>
      <c r="C238" s="6" t="s">
        <v>855</v>
      </c>
      <c r="D238" s="6" t="s">
        <v>856</v>
      </c>
      <c r="E238" s="5"/>
    </row>
    <row r="239" spans="2:5" x14ac:dyDescent="0.15">
      <c r="B239" s="6" t="s">
        <v>155</v>
      </c>
      <c r="C239" s="6" t="s">
        <v>857</v>
      </c>
      <c r="D239" s="6" t="s">
        <v>152</v>
      </c>
      <c r="E239" s="5" t="str">
        <f>HYPERLINK("https://www.esco-net.com/wcs/escort/ec/detail?hHinCd=EA618BA-2","EA618BA-2")</f>
        <v>EA618BA-2</v>
      </c>
    </row>
    <row r="240" spans="2:5" x14ac:dyDescent="0.15">
      <c r="B240" s="6" t="s">
        <v>858</v>
      </c>
      <c r="C240" s="6" t="s">
        <v>859</v>
      </c>
      <c r="D240" s="6" t="s">
        <v>860</v>
      </c>
      <c r="E240" s="5" t="str">
        <f>HYPERLINK("https://www.esco-net.com/wcs/escort/ec/detail?hHinCd=EA618BR-27","EA618BR-27")</f>
        <v>EA618BR-27</v>
      </c>
    </row>
    <row r="241" spans="2:5" x14ac:dyDescent="0.15">
      <c r="B241" s="6" t="s">
        <v>861</v>
      </c>
      <c r="C241" s="6" t="s">
        <v>862</v>
      </c>
      <c r="D241" s="6" t="s">
        <v>863</v>
      </c>
      <c r="E241" s="5" t="str">
        <f>HYPERLINK("https://www.esco-net.com/wcs/escort/ec/detail?hHinCd=EA687BX-8","EA687BX-8")</f>
        <v>EA687BX-8</v>
      </c>
    </row>
    <row r="242" spans="2:5" x14ac:dyDescent="0.15">
      <c r="B242" s="6" t="s">
        <v>861</v>
      </c>
      <c r="C242" s="6" t="s">
        <v>864</v>
      </c>
      <c r="D242" s="6" t="s">
        <v>865</v>
      </c>
      <c r="E242" s="5" t="str">
        <f>HYPERLINK("https://www.esco-net.com/wcs/escort/ec/detail?hHinCd=EA618BZ-203","EA618BZ-203")</f>
        <v>EA618BZ-203</v>
      </c>
    </row>
    <row r="243" spans="2:5" x14ac:dyDescent="0.15">
      <c r="B243" s="6" t="s">
        <v>866</v>
      </c>
      <c r="C243" s="6" t="s">
        <v>867</v>
      </c>
      <c r="D243" s="6" t="s">
        <v>868</v>
      </c>
      <c r="E243" s="5" t="str">
        <f>HYPERLINK("https://www.esco-net.com/wcs/escort/ec/detail?hHinCd=EA618CA-4","EA618CA-4")</f>
        <v>EA618CA-4</v>
      </c>
    </row>
    <row r="244" spans="2:5" x14ac:dyDescent="0.15">
      <c r="B244" s="6" t="s">
        <v>866</v>
      </c>
      <c r="C244" s="6" t="s">
        <v>869</v>
      </c>
      <c r="D244" s="6" t="s">
        <v>870</v>
      </c>
      <c r="E244" s="5"/>
    </row>
    <row r="245" spans="2:5" x14ac:dyDescent="0.15">
      <c r="B245" s="6" t="s">
        <v>871</v>
      </c>
      <c r="C245" s="6" t="s">
        <v>872</v>
      </c>
      <c r="D245" s="6" t="s">
        <v>873</v>
      </c>
      <c r="E245" s="5" t="str">
        <f>HYPERLINK("https://www.esco-net.com/wcs/escort/ec/detail?hHinCd=EA618CG-5","EA618CG-5")</f>
        <v>EA618CG-5</v>
      </c>
    </row>
    <row r="246" spans="2:5" x14ac:dyDescent="0.15">
      <c r="B246" s="6" t="s">
        <v>874</v>
      </c>
      <c r="C246" s="6" t="s">
        <v>875</v>
      </c>
      <c r="D246" s="6" t="s">
        <v>876</v>
      </c>
      <c r="E246" s="5"/>
    </row>
    <row r="247" spans="2:5" x14ac:dyDescent="0.15">
      <c r="B247" s="6" t="s">
        <v>874</v>
      </c>
      <c r="C247" s="6" t="s">
        <v>877</v>
      </c>
      <c r="D247" s="6" t="s">
        <v>878</v>
      </c>
      <c r="E247" s="5" t="str">
        <f>HYPERLINK("https://www.esco-net.com/wcs/escort/ec/detail?hHinCd=EA618RN-35","EA618RN-35")</f>
        <v>EA618RN-35</v>
      </c>
    </row>
    <row r="248" spans="2:5" x14ac:dyDescent="0.15">
      <c r="B248" s="6" t="s">
        <v>156</v>
      </c>
      <c r="C248" s="6" t="s">
        <v>879</v>
      </c>
      <c r="D248" s="6" t="s">
        <v>880</v>
      </c>
      <c r="E248" s="5" t="str">
        <f>HYPERLINK("https://www.esco-net.com/wcs/escort/ec/detail?hHinCd=EA616BC-2","EA616BC-2")</f>
        <v>EA616BC-2</v>
      </c>
    </row>
    <row r="249" spans="2:5" x14ac:dyDescent="0.15">
      <c r="B249" s="6" t="s">
        <v>157</v>
      </c>
      <c r="C249" s="6" t="s">
        <v>881</v>
      </c>
      <c r="D249" s="6" t="s">
        <v>882</v>
      </c>
      <c r="E249" s="5" t="str">
        <f>HYPERLINK("https://www.esco-net.com/wcs/escort/ec/detail?hHinCd=EA615AR-30","EA615AR-30")</f>
        <v>EA615AR-30</v>
      </c>
    </row>
    <row r="250" spans="2:5" x14ac:dyDescent="0.15">
      <c r="B250" s="6" t="s">
        <v>157</v>
      </c>
      <c r="C250" s="6" t="s">
        <v>883</v>
      </c>
      <c r="D250" s="6" t="s">
        <v>884</v>
      </c>
      <c r="E250" s="5" t="str">
        <f>HYPERLINK("https://www.esco-net.com/wcs/escort/ec/detail?hHinCd=EA615AN-3","EA615AN-3")</f>
        <v>EA615AN-3</v>
      </c>
    </row>
    <row r="251" spans="2:5" x14ac:dyDescent="0.15">
      <c r="B251" s="6" t="s">
        <v>157</v>
      </c>
      <c r="C251" s="6" t="s">
        <v>885</v>
      </c>
      <c r="D251" s="6" t="s">
        <v>886</v>
      </c>
      <c r="E251" s="5" t="str">
        <f>HYPERLINK("https://www.esco-net.com/wcs/escort/ec/detail?hHinCd=EA615AN-6","EA615AN-6")</f>
        <v>EA615AN-6</v>
      </c>
    </row>
    <row r="252" spans="2:5" x14ac:dyDescent="0.15">
      <c r="B252" s="6" t="s">
        <v>157</v>
      </c>
      <c r="C252" s="6" t="s">
        <v>887</v>
      </c>
      <c r="D252" s="6" t="s">
        <v>888</v>
      </c>
      <c r="E252" s="5" t="str">
        <f>HYPERLINK("https://www.esco-net.com/wcs/escort/ec/detail?hHinCd=EA685A-12","EA685A-12")</f>
        <v>EA685A-12</v>
      </c>
    </row>
    <row r="253" spans="2:5" x14ac:dyDescent="0.15">
      <c r="B253" s="6" t="s">
        <v>889</v>
      </c>
      <c r="C253" s="6" t="s">
        <v>890</v>
      </c>
      <c r="D253" s="6" t="s">
        <v>891</v>
      </c>
      <c r="E253" s="5" t="str">
        <f>HYPERLINK("https://www.esco-net.com/wcs/escort/ec/detail?hHinCd=EA618GB-17","EA618GB-17")</f>
        <v>EA618GB-17</v>
      </c>
    </row>
    <row r="254" spans="2:5" x14ac:dyDescent="0.15">
      <c r="B254" s="6" t="s">
        <v>889</v>
      </c>
      <c r="C254" s="6" t="s">
        <v>892</v>
      </c>
      <c r="D254" s="6" t="s">
        <v>893</v>
      </c>
      <c r="E254" s="5" t="str">
        <f>HYPERLINK("https://www.esco-net.com/wcs/escort/ec/detail?hHinCd=EA618GB-19","EA618GB-19")</f>
        <v>EA618GB-19</v>
      </c>
    </row>
    <row r="255" spans="2:5" x14ac:dyDescent="0.15">
      <c r="B255" s="6" t="s">
        <v>889</v>
      </c>
      <c r="C255" s="6" t="s">
        <v>894</v>
      </c>
      <c r="D255" s="6" t="s">
        <v>895</v>
      </c>
      <c r="E255" s="5" t="str">
        <f>HYPERLINK("https://www.esco-net.com/wcs/escort/ec/detail?hHinCd=EA687BR-1","EA687BR-1")</f>
        <v>EA687BR-1</v>
      </c>
    </row>
    <row r="256" spans="2:5" x14ac:dyDescent="0.15">
      <c r="B256" s="6" t="s">
        <v>896</v>
      </c>
      <c r="C256" s="6" t="s">
        <v>897</v>
      </c>
      <c r="D256" s="6" t="s">
        <v>898</v>
      </c>
      <c r="E256" s="5" t="str">
        <f>HYPERLINK("https://www.esco-net.com/wcs/escort/ec/detail?hHinCd=EA687HG-16","EA687HG-16")</f>
        <v>EA687HG-16</v>
      </c>
    </row>
    <row r="257" spans="2:5" x14ac:dyDescent="0.15">
      <c r="B257" s="6" t="s">
        <v>896</v>
      </c>
      <c r="C257" s="6" t="s">
        <v>899</v>
      </c>
      <c r="D257" s="6" t="s">
        <v>900</v>
      </c>
      <c r="E257" s="5" t="str">
        <f>HYPERLINK("https://www.esco-net.com/wcs/escort/ec/detail?hHinCd=EA687HA-22","EA687HA-22")</f>
        <v>EA687HA-22</v>
      </c>
    </row>
    <row r="258" spans="2:5" x14ac:dyDescent="0.15">
      <c r="B258" s="6" t="s">
        <v>896</v>
      </c>
      <c r="C258" s="6" t="s">
        <v>901</v>
      </c>
      <c r="D258" s="6" t="s">
        <v>902</v>
      </c>
      <c r="E258" s="5" t="str">
        <f>HYPERLINK("https://www.esco-net.com/wcs/escort/ec/detail?hHinCd=EA687HA-23","EA687HA-23")</f>
        <v>EA687HA-23</v>
      </c>
    </row>
    <row r="259" spans="2:5" x14ac:dyDescent="0.15">
      <c r="B259" s="6" t="s">
        <v>158</v>
      </c>
      <c r="C259" s="6" t="s">
        <v>903</v>
      </c>
      <c r="D259" s="6" t="s">
        <v>904</v>
      </c>
      <c r="E259" s="5" t="str">
        <f>HYPERLINK("https://www.esco-net.com/wcs/escort/ec/detail?hHinCd=EA164KG","EA164KG")</f>
        <v>EA164KG</v>
      </c>
    </row>
    <row r="260" spans="2:5" x14ac:dyDescent="0.15">
      <c r="B260" s="6" t="s">
        <v>159</v>
      </c>
      <c r="C260" s="6" t="s">
        <v>905</v>
      </c>
      <c r="D260" s="6" t="s">
        <v>906</v>
      </c>
      <c r="E260" s="5" t="str">
        <f>HYPERLINK("https://www.esco-net.com/wcs/escort/ec/detail?hHinCd=EA164HB-70","EA164HB-70")</f>
        <v>EA164HB-70</v>
      </c>
    </row>
    <row r="261" spans="2:5" x14ac:dyDescent="0.15">
      <c r="B261" s="6" t="s">
        <v>907</v>
      </c>
      <c r="C261" s="6" t="s">
        <v>908</v>
      </c>
      <c r="D261" s="6" t="s">
        <v>909</v>
      </c>
      <c r="E261" s="5" t="str">
        <f>HYPERLINK("https://www.esco-net.com/wcs/escort/ec/detail?hHinCd=EA164TC-1","EA164TC-1")</f>
        <v>EA164TC-1</v>
      </c>
    </row>
    <row r="262" spans="2:5" x14ac:dyDescent="0.15">
      <c r="B262" s="6" t="s">
        <v>160</v>
      </c>
      <c r="C262" s="6" t="s">
        <v>910</v>
      </c>
      <c r="D262" s="6" t="s">
        <v>911</v>
      </c>
      <c r="E262" s="5"/>
    </row>
    <row r="263" spans="2:5" x14ac:dyDescent="0.15">
      <c r="B263" s="6" t="s">
        <v>160</v>
      </c>
      <c r="C263" s="6" t="s">
        <v>912</v>
      </c>
      <c r="D263" s="6" t="s">
        <v>913</v>
      </c>
      <c r="E263" s="5" t="str">
        <f>HYPERLINK("https://www.esco-net.com/wcs/escort/ec/detail?hHinCd=EA613GL-30","EA613GL-30")</f>
        <v>EA613GL-30</v>
      </c>
    </row>
    <row r="264" spans="2:5" x14ac:dyDescent="0.15">
      <c r="B264" s="6" t="s">
        <v>160</v>
      </c>
      <c r="C264" s="6" t="s">
        <v>914</v>
      </c>
      <c r="D264" s="6" t="s">
        <v>915</v>
      </c>
      <c r="E264" s="5" t="str">
        <f>HYPERLINK("https://www.esco-net.com/wcs/escort/ec/detail?hHinCd=EA613GL-55","EA613GL-55")</f>
        <v>EA613GL-55</v>
      </c>
    </row>
    <row r="265" spans="2:5" x14ac:dyDescent="0.15">
      <c r="B265" s="6" t="s">
        <v>161</v>
      </c>
      <c r="C265" s="6" t="s">
        <v>916</v>
      </c>
      <c r="D265" s="6" t="s">
        <v>917</v>
      </c>
      <c r="E265" s="5" t="str">
        <f>HYPERLINK("https://www.esco-net.com/wcs/escort/ec/detail?hHinCd=EA613GK-130","EA613GK-130")</f>
        <v>EA613GK-130</v>
      </c>
    </row>
    <row r="266" spans="2:5" x14ac:dyDescent="0.15">
      <c r="B266" s="6" t="s">
        <v>162</v>
      </c>
      <c r="C266" s="6" t="s">
        <v>918</v>
      </c>
      <c r="D266" s="6" t="s">
        <v>919</v>
      </c>
      <c r="E266" s="5" t="str">
        <f>HYPERLINK("https://www.esco-net.com/wcs/escort/ec/detail?hHinCd=EA602AB-11","EA602AB-11")</f>
        <v>EA602AB-11</v>
      </c>
    </row>
    <row r="267" spans="2:5" x14ac:dyDescent="0.15">
      <c r="B267" s="6" t="s">
        <v>920</v>
      </c>
      <c r="C267" s="6" t="s">
        <v>921</v>
      </c>
      <c r="D267" s="6" t="s">
        <v>922</v>
      </c>
      <c r="E267" s="5"/>
    </row>
    <row r="268" spans="2:5" x14ac:dyDescent="0.15">
      <c r="B268" s="6" t="s">
        <v>920</v>
      </c>
      <c r="C268" s="6" t="s">
        <v>923</v>
      </c>
      <c r="D268" s="6" t="s">
        <v>924</v>
      </c>
      <c r="E268" s="5"/>
    </row>
    <row r="269" spans="2:5" x14ac:dyDescent="0.15">
      <c r="B269" s="6" t="s">
        <v>925</v>
      </c>
      <c r="C269" s="6" t="s">
        <v>926</v>
      </c>
      <c r="D269" s="6" t="s">
        <v>927</v>
      </c>
      <c r="E269" s="5" t="str">
        <f>HYPERLINK("https://www.esco-net.com/wcs/escort/ec/detail?hHinCd=EA613XA","EA613XA")</f>
        <v>EA613XA</v>
      </c>
    </row>
    <row r="270" spans="2:5" x14ac:dyDescent="0.15">
      <c r="B270" s="6" t="s">
        <v>928</v>
      </c>
      <c r="C270" s="6" t="s">
        <v>929</v>
      </c>
      <c r="D270" s="6" t="s">
        <v>930</v>
      </c>
      <c r="E270" s="5" t="str">
        <f>HYPERLINK("https://www.esco-net.com/wcs/escort/ec/detail?hHinCd=EA613XS-32","EA613XS-32")</f>
        <v>EA613XS-32</v>
      </c>
    </row>
    <row r="271" spans="2:5" x14ac:dyDescent="0.15">
      <c r="B271" s="6" t="s">
        <v>163</v>
      </c>
      <c r="C271" s="6" t="s">
        <v>931</v>
      </c>
      <c r="D271" s="6" t="s">
        <v>932</v>
      </c>
      <c r="E271" s="5" t="str">
        <f>HYPERLINK("https://www.esco-net.com/wcs/escort/ec/detail?hHinCd=EA723JG-59","EA723JG-59")</f>
        <v>EA723JG-59</v>
      </c>
    </row>
    <row r="272" spans="2:5" x14ac:dyDescent="0.15">
      <c r="B272" s="6" t="s">
        <v>933</v>
      </c>
      <c r="C272" s="6" t="s">
        <v>934</v>
      </c>
      <c r="D272" s="6" t="s">
        <v>935</v>
      </c>
      <c r="E272" s="5"/>
    </row>
    <row r="273" spans="2:5" x14ac:dyDescent="0.15">
      <c r="B273" s="6" t="s">
        <v>933</v>
      </c>
      <c r="C273" s="6" t="s">
        <v>936</v>
      </c>
      <c r="D273" s="6" t="s">
        <v>937</v>
      </c>
      <c r="E273" s="5"/>
    </row>
    <row r="274" spans="2:5" x14ac:dyDescent="0.15">
      <c r="B274" s="6" t="s">
        <v>938</v>
      </c>
      <c r="C274" s="6" t="s">
        <v>939</v>
      </c>
      <c r="D274" s="6" t="s">
        <v>940</v>
      </c>
      <c r="E274" s="5" t="str">
        <f>HYPERLINK("https://www.esco-net.com/wcs/escort/ec/detail?hHinCd=EA557DE-150","EA557DE-150")</f>
        <v>EA557DE-150</v>
      </c>
    </row>
    <row r="275" spans="2:5" x14ac:dyDescent="0.15">
      <c r="B275" s="6" t="s">
        <v>941</v>
      </c>
      <c r="C275" s="6" t="s">
        <v>942</v>
      </c>
      <c r="D275" s="6" t="s">
        <v>943</v>
      </c>
      <c r="E275" s="5" t="str">
        <f>HYPERLINK("https://www.esco-net.com/wcs/escort/ec/detail?hHinCd=EA560GA-33","EA560GA-33")</f>
        <v>EA560GA-33</v>
      </c>
    </row>
    <row r="276" spans="2:5" x14ac:dyDescent="0.15">
      <c r="B276" s="6" t="s">
        <v>941</v>
      </c>
      <c r="C276" s="6" t="s">
        <v>944</v>
      </c>
      <c r="D276" s="6" t="s">
        <v>945</v>
      </c>
      <c r="E276" s="5"/>
    </row>
    <row r="277" spans="2:5" x14ac:dyDescent="0.15">
      <c r="B277" s="6" t="s">
        <v>946</v>
      </c>
      <c r="C277" s="6" t="s">
        <v>947</v>
      </c>
      <c r="D277" s="6" t="s">
        <v>948</v>
      </c>
      <c r="E277" s="5" t="str">
        <f>HYPERLINK("https://www.esco-net.com/wcs/escort/ec/detail?hHinCd=EA573SC-10","EA573SC-10")</f>
        <v>EA573SC-10</v>
      </c>
    </row>
    <row r="278" spans="2:5" x14ac:dyDescent="0.15">
      <c r="B278" s="6" t="s">
        <v>164</v>
      </c>
      <c r="C278" s="6" t="s">
        <v>949</v>
      </c>
      <c r="D278" s="6" t="s">
        <v>950</v>
      </c>
      <c r="E278" s="5" t="str">
        <f>HYPERLINK("https://www.esco-net.com/wcs/escort/ec/detail?hHinCd=EA557AV-100A","EA557AV-100A")</f>
        <v>EA557AV-100A</v>
      </c>
    </row>
    <row r="279" spans="2:5" x14ac:dyDescent="0.15">
      <c r="B279" s="6" t="s">
        <v>164</v>
      </c>
      <c r="C279" s="6" t="s">
        <v>951</v>
      </c>
      <c r="D279" s="6" t="s">
        <v>952</v>
      </c>
      <c r="E279" s="5" t="str">
        <f>HYPERLINK("https://www.esco-net.com/wcs/escort/ec/detail?hHinCd=EA565BF-7","EA565BF-7")</f>
        <v>EA565BF-7</v>
      </c>
    </row>
    <row r="280" spans="2:5" x14ac:dyDescent="0.15">
      <c r="B280" s="6" t="s">
        <v>164</v>
      </c>
      <c r="C280" s="6" t="s">
        <v>953</v>
      </c>
      <c r="D280" s="6" t="s">
        <v>954</v>
      </c>
      <c r="E280" s="5" t="str">
        <f>HYPERLINK("https://www.esco-net.com/wcs/escort/ec/detail?hHinCd=EA565BF-13","EA565BF-13")</f>
        <v>EA565BF-13</v>
      </c>
    </row>
    <row r="281" spans="2:5" x14ac:dyDescent="0.15">
      <c r="B281" s="6" t="s">
        <v>164</v>
      </c>
      <c r="C281" s="6" t="s">
        <v>955</v>
      </c>
      <c r="D281" s="6" t="s">
        <v>956</v>
      </c>
      <c r="E281" s="5"/>
    </row>
    <row r="282" spans="2:5" x14ac:dyDescent="0.15">
      <c r="B282" s="6" t="s">
        <v>957</v>
      </c>
      <c r="C282" s="6" t="s">
        <v>958</v>
      </c>
      <c r="D282" s="6" t="s">
        <v>959</v>
      </c>
      <c r="E282" s="5" t="str">
        <f>HYPERLINK("https://www.esco-net.com/wcs/escort/ec/detail?hHinCd=EA562-42","EA562-42")</f>
        <v>EA562-42</v>
      </c>
    </row>
    <row r="283" spans="2:5" x14ac:dyDescent="0.15">
      <c r="B283" s="6" t="s">
        <v>960</v>
      </c>
      <c r="C283" s="6" t="s">
        <v>961</v>
      </c>
      <c r="D283" s="6" t="s">
        <v>962</v>
      </c>
      <c r="E283" s="5" t="str">
        <f>HYPERLINK("https://www.esco-net.com/wcs/escort/ec/detail?hHinCd=EA611GN-5","EA611GN-5")</f>
        <v>EA611GN-5</v>
      </c>
    </row>
    <row r="284" spans="2:5" x14ac:dyDescent="0.15">
      <c r="B284" s="6" t="s">
        <v>165</v>
      </c>
      <c r="C284" s="6" t="s">
        <v>963</v>
      </c>
      <c r="D284" s="6" t="s">
        <v>166</v>
      </c>
      <c r="E284" s="5" t="str">
        <f>HYPERLINK("https://www.esco-net.com/wcs/escort/ec/detail?hHinCd=EA611G-13","EA611G-13")</f>
        <v>EA611G-13</v>
      </c>
    </row>
    <row r="285" spans="2:5" x14ac:dyDescent="0.15">
      <c r="B285" s="6" t="s">
        <v>165</v>
      </c>
      <c r="C285" s="6" t="s">
        <v>964</v>
      </c>
      <c r="D285" s="6" t="s">
        <v>965</v>
      </c>
      <c r="E285" s="5" t="str">
        <f>HYPERLINK("https://www.esco-net.com/wcs/escort/ec/detail?hHinCd=EA611GA-91A","EA611GA-91A")</f>
        <v>EA611GA-91A</v>
      </c>
    </row>
    <row r="286" spans="2:5" x14ac:dyDescent="0.15">
      <c r="B286" s="6" t="s">
        <v>165</v>
      </c>
      <c r="C286" s="6" t="s">
        <v>966</v>
      </c>
      <c r="D286" s="6" t="s">
        <v>967</v>
      </c>
      <c r="E286" s="5" t="str">
        <f>HYPERLINK("https://www.esco-net.com/wcs/escort/ec/detail?hHinCd=EA611GA-92A","EA611GA-92A")</f>
        <v>EA611GA-92A</v>
      </c>
    </row>
    <row r="287" spans="2:5" x14ac:dyDescent="0.15">
      <c r="B287" s="6" t="s">
        <v>968</v>
      </c>
      <c r="C287" s="6" t="s">
        <v>969</v>
      </c>
      <c r="D287" s="6" t="s">
        <v>970</v>
      </c>
      <c r="E287" s="5" t="str">
        <f>HYPERLINK("https://www.esco-net.com/wcs/escort/ec/detail?hHinCd=EA611GM-20","EA611GM-20")</f>
        <v>EA611GM-20</v>
      </c>
    </row>
    <row r="288" spans="2:5" x14ac:dyDescent="0.15">
      <c r="B288" s="6" t="s">
        <v>971</v>
      </c>
      <c r="C288" s="6" t="s">
        <v>972</v>
      </c>
      <c r="D288" s="6" t="s">
        <v>973</v>
      </c>
      <c r="E288" s="5" t="str">
        <f>HYPERLINK("https://www.esco-net.com/wcs/escort/ec/detail?hHinCd=EA813AC-75","EA813AC-75")</f>
        <v>EA813AC-75</v>
      </c>
    </row>
    <row r="289" spans="2:5" x14ac:dyDescent="0.15">
      <c r="B289" s="6" t="s">
        <v>167</v>
      </c>
      <c r="C289" s="6" t="s">
        <v>974</v>
      </c>
      <c r="D289" s="6" t="s">
        <v>975</v>
      </c>
      <c r="E289" s="5" t="str">
        <f>HYPERLINK("https://www.esco-net.com/wcs/escort/ec/detail?hHinCd=EA550WA","EA550WA")</f>
        <v>EA550WA</v>
      </c>
    </row>
    <row r="290" spans="2:5" x14ac:dyDescent="0.15">
      <c r="B290" s="6" t="s">
        <v>167</v>
      </c>
      <c r="C290" s="6" t="s">
        <v>976</v>
      </c>
      <c r="D290" s="6" t="s">
        <v>977</v>
      </c>
      <c r="E290" s="5" t="str">
        <f>HYPERLINK("https://www.esco-net.com/wcs/escort/ec/detail?hHinCd=EA550XB-7","EA550XB-7")</f>
        <v>EA550XB-7</v>
      </c>
    </row>
    <row r="291" spans="2:5" x14ac:dyDescent="0.15">
      <c r="B291" s="6" t="s">
        <v>168</v>
      </c>
      <c r="C291" s="6" t="s">
        <v>978</v>
      </c>
      <c r="D291" s="6" t="s">
        <v>979</v>
      </c>
      <c r="E291" s="5" t="str">
        <f>HYPERLINK("https://www.esco-net.com/wcs/escort/ec/detail?hHinCd=EA573GA-9","EA573GA-9")</f>
        <v>EA573GA-9</v>
      </c>
    </row>
    <row r="292" spans="2:5" x14ac:dyDescent="0.15">
      <c r="B292" s="6" t="s">
        <v>980</v>
      </c>
      <c r="C292" s="6" t="s">
        <v>981</v>
      </c>
      <c r="D292" s="6" t="s">
        <v>982</v>
      </c>
      <c r="E292" s="5" t="str">
        <f>HYPERLINK("https://www.esco-net.com/wcs/escort/ec/detail?hHinCd=EA573LA-170","EA573LA-170")</f>
        <v>EA573LA-170</v>
      </c>
    </row>
    <row r="293" spans="2:5" x14ac:dyDescent="0.15">
      <c r="B293" s="6" t="s">
        <v>983</v>
      </c>
      <c r="C293" s="6" t="s">
        <v>984</v>
      </c>
      <c r="D293" s="6" t="s">
        <v>985</v>
      </c>
      <c r="E293" s="5" t="str">
        <f>HYPERLINK("https://www.esco-net.com/wcs/escort/ec/detail?hHinCd=EA573W-6","EA573W-6")</f>
        <v>EA573W-6</v>
      </c>
    </row>
    <row r="294" spans="2:5" x14ac:dyDescent="0.15">
      <c r="B294" s="6" t="s">
        <v>986</v>
      </c>
      <c r="C294" s="6" t="s">
        <v>987</v>
      </c>
      <c r="D294" s="6" t="s">
        <v>988</v>
      </c>
      <c r="E294" s="5" t="str">
        <f>HYPERLINK("https://www.esco-net.com/wcs/escort/ec/detail?hHinCd=EA573WF-190A","EA573WF-190A")</f>
        <v>EA573WF-190A</v>
      </c>
    </row>
    <row r="295" spans="2:5" x14ac:dyDescent="0.15">
      <c r="B295" s="6" t="s">
        <v>989</v>
      </c>
      <c r="C295" s="6" t="s">
        <v>990</v>
      </c>
      <c r="D295" s="6" t="s">
        <v>991</v>
      </c>
      <c r="E295" s="5" t="str">
        <f>HYPERLINK("https://www.esco-net.com/wcs/escort/ec/detail?hHinCd=EA566AC-28","EA566AC-28")</f>
        <v>EA566AC-28</v>
      </c>
    </row>
    <row r="296" spans="2:5" x14ac:dyDescent="0.15">
      <c r="B296" s="6" t="s">
        <v>169</v>
      </c>
      <c r="C296" s="6" t="s">
        <v>992</v>
      </c>
      <c r="D296" s="6" t="s">
        <v>993</v>
      </c>
      <c r="E296" s="5"/>
    </row>
    <row r="297" spans="2:5" x14ac:dyDescent="0.15">
      <c r="B297" s="6" t="s">
        <v>994</v>
      </c>
      <c r="C297" s="6" t="s">
        <v>995</v>
      </c>
      <c r="D297" s="6" t="s">
        <v>996</v>
      </c>
      <c r="E297" s="5"/>
    </row>
    <row r="298" spans="2:5" x14ac:dyDescent="0.15">
      <c r="B298" s="6" t="s">
        <v>994</v>
      </c>
      <c r="C298" s="6" t="s">
        <v>997</v>
      </c>
      <c r="D298" s="6" t="s">
        <v>998</v>
      </c>
      <c r="E298" s="5"/>
    </row>
    <row r="299" spans="2:5" x14ac:dyDescent="0.15">
      <c r="B299" s="6" t="s">
        <v>994</v>
      </c>
      <c r="C299" s="6" t="s">
        <v>999</v>
      </c>
      <c r="D299" s="6" t="s">
        <v>1000</v>
      </c>
      <c r="E299" s="5"/>
    </row>
    <row r="300" spans="2:5" x14ac:dyDescent="0.15">
      <c r="B300" s="6" t="s">
        <v>994</v>
      </c>
      <c r="C300" s="6" t="s">
        <v>1001</v>
      </c>
      <c r="D300" s="6" t="s">
        <v>1002</v>
      </c>
      <c r="E300" s="5"/>
    </row>
    <row r="301" spans="2:5" x14ac:dyDescent="0.15">
      <c r="B301" s="6" t="s">
        <v>994</v>
      </c>
      <c r="C301" s="6" t="s">
        <v>1003</v>
      </c>
      <c r="D301" s="6" t="s">
        <v>1004</v>
      </c>
      <c r="E301" s="5"/>
    </row>
    <row r="302" spans="2:5" x14ac:dyDescent="0.15">
      <c r="B302" s="6" t="s">
        <v>994</v>
      </c>
      <c r="C302" s="6" t="s">
        <v>1005</v>
      </c>
      <c r="D302" s="6" t="s">
        <v>1006</v>
      </c>
      <c r="E302" s="5"/>
    </row>
    <row r="303" spans="2:5" x14ac:dyDescent="0.15">
      <c r="B303" s="6" t="s">
        <v>170</v>
      </c>
      <c r="C303" s="6" t="s">
        <v>1007</v>
      </c>
      <c r="D303" s="6" t="s">
        <v>1008</v>
      </c>
      <c r="E303" s="5"/>
    </row>
    <row r="304" spans="2:5" x14ac:dyDescent="0.15">
      <c r="B304" s="6" t="s">
        <v>82</v>
      </c>
      <c r="C304" s="6" t="s">
        <v>1009</v>
      </c>
      <c r="D304" s="6" t="s">
        <v>1010</v>
      </c>
      <c r="E304" s="5" t="str">
        <f>HYPERLINK("https://www.esco-net.com/wcs/escort/ec/detail?hHinCd=EA521VP-203CT","EA521VP-203CT")</f>
        <v>EA521VP-203CT</v>
      </c>
    </row>
    <row r="305" spans="2:5" x14ac:dyDescent="0.15">
      <c r="B305" s="6" t="s">
        <v>1011</v>
      </c>
      <c r="C305" s="6" t="s">
        <v>1012</v>
      </c>
      <c r="D305" s="6" t="s">
        <v>1013</v>
      </c>
      <c r="E305" s="5" t="str">
        <f>HYPERLINK("https://www.esco-net.com/wcs/escort/ec/detail?hHinCd=EA521AB-10","EA521AB-10")</f>
        <v>EA521AB-10</v>
      </c>
    </row>
    <row r="306" spans="2:5" x14ac:dyDescent="0.15">
      <c r="B306" s="6" t="s">
        <v>1011</v>
      </c>
      <c r="C306" s="6" t="s">
        <v>1014</v>
      </c>
      <c r="D306" s="6" t="s">
        <v>1015</v>
      </c>
      <c r="E306" s="5"/>
    </row>
    <row r="307" spans="2:5" x14ac:dyDescent="0.15">
      <c r="B307" s="6" t="s">
        <v>172</v>
      </c>
      <c r="C307" s="6" t="s">
        <v>1016</v>
      </c>
      <c r="D307" s="6" t="s">
        <v>1017</v>
      </c>
      <c r="E307" s="5" t="str">
        <f>HYPERLINK("https://www.esco-net.com/wcs/escort/ec/detail?hHinCd=EA522AK-13A","EA522AK-13A")</f>
        <v>EA522AK-13A</v>
      </c>
    </row>
    <row r="308" spans="2:5" x14ac:dyDescent="0.15">
      <c r="B308" s="6" t="s">
        <v>1018</v>
      </c>
      <c r="C308" s="6" t="s">
        <v>1019</v>
      </c>
      <c r="D308" s="6" t="s">
        <v>1020</v>
      </c>
      <c r="E308" s="5"/>
    </row>
    <row r="309" spans="2:5" x14ac:dyDescent="0.15">
      <c r="B309" s="6" t="s">
        <v>1021</v>
      </c>
      <c r="C309" s="6" t="s">
        <v>1022</v>
      </c>
      <c r="D309" s="6" t="s">
        <v>1023</v>
      </c>
      <c r="E309" s="5" t="str">
        <f>HYPERLINK("https://www.esco-net.com/wcs/escort/ec/detail?hHinCd=EA366HC-150","EA366HC-150")</f>
        <v>EA366HC-150</v>
      </c>
    </row>
    <row r="310" spans="2:5" x14ac:dyDescent="0.15">
      <c r="B310" s="6" t="s">
        <v>1024</v>
      </c>
      <c r="C310" s="6" t="s">
        <v>1025</v>
      </c>
      <c r="D310" s="6" t="s">
        <v>1026</v>
      </c>
      <c r="E310" s="5" t="str">
        <f>HYPERLINK("https://www.esco-net.com/wcs/escort/ec/detail?hHinCd=EA922AJ-111","EA922AJ-111")</f>
        <v>EA922AJ-111</v>
      </c>
    </row>
    <row r="311" spans="2:5" x14ac:dyDescent="0.15">
      <c r="B311" s="6" t="s">
        <v>1027</v>
      </c>
      <c r="C311" s="6" t="s">
        <v>1028</v>
      </c>
      <c r="D311" s="6" t="s">
        <v>1029</v>
      </c>
      <c r="E311" s="5" t="str">
        <f>HYPERLINK("https://www.esco-net.com/wcs/escort/ec/detail?hHinCd=EA109AM-2","EA109AM-2")</f>
        <v>EA109AM-2</v>
      </c>
    </row>
    <row r="312" spans="2:5" x14ac:dyDescent="0.15">
      <c r="B312" s="6" t="s">
        <v>173</v>
      </c>
      <c r="C312" s="6" t="s">
        <v>1030</v>
      </c>
      <c r="D312" s="6" t="s">
        <v>1031</v>
      </c>
      <c r="E312" s="5" t="str">
        <f>HYPERLINK("https://www.esco-net.com/wcs/escort/ec/detail?hHinCd=EA109AZ-16","EA109AZ-16")</f>
        <v>EA109AZ-16</v>
      </c>
    </row>
    <row r="313" spans="2:5" x14ac:dyDescent="0.15">
      <c r="B313" s="6" t="s">
        <v>1032</v>
      </c>
      <c r="C313" s="6" t="s">
        <v>1033</v>
      </c>
      <c r="D313" s="6" t="s">
        <v>1034</v>
      </c>
      <c r="E313" s="5" t="str">
        <f>HYPERLINK("https://www.esco-net.com/wcs/escort/ec/detail?hHinCd=EA109AR-1","EA109AR-1")</f>
        <v>EA109AR-1</v>
      </c>
    </row>
    <row r="314" spans="2:5" x14ac:dyDescent="0.15">
      <c r="B314" s="6" t="s">
        <v>1032</v>
      </c>
      <c r="C314" s="6" t="s">
        <v>1035</v>
      </c>
      <c r="D314" s="6" t="s">
        <v>1036</v>
      </c>
      <c r="E314" s="5" t="str">
        <f>HYPERLINK("https://www.esco-net.com/wcs/escort/ec/detail?hHinCd=EA109BA-16","EA109BA-16")</f>
        <v>EA109BA-16</v>
      </c>
    </row>
    <row r="315" spans="2:5" x14ac:dyDescent="0.15">
      <c r="B315" s="6" t="s">
        <v>174</v>
      </c>
      <c r="C315" s="6" t="s">
        <v>1037</v>
      </c>
      <c r="D315" s="6" t="s">
        <v>1038</v>
      </c>
      <c r="E315" s="5" t="str">
        <f>HYPERLINK("https://www.esco-net.com/wcs/escort/ec/detail?hHinCd=EA109GC-5","EA109GC-5")</f>
        <v>EA109GC-5</v>
      </c>
    </row>
    <row r="316" spans="2:5" x14ac:dyDescent="0.15">
      <c r="B316" s="6" t="s">
        <v>1039</v>
      </c>
      <c r="C316" s="6" t="s">
        <v>1040</v>
      </c>
      <c r="D316" s="6" t="s">
        <v>1041</v>
      </c>
      <c r="E316" s="5" t="str">
        <f>HYPERLINK("https://www.esco-net.com/wcs/escort/ec/detail?hHinCd=EA109GH-24","EA109GH-24")</f>
        <v>EA109GH-24</v>
      </c>
    </row>
    <row r="317" spans="2:5" x14ac:dyDescent="0.15">
      <c r="B317" s="6" t="s">
        <v>1042</v>
      </c>
      <c r="C317" s="6" t="s">
        <v>1043</v>
      </c>
      <c r="D317" s="6" t="s">
        <v>1044</v>
      </c>
      <c r="E317" s="5"/>
    </row>
    <row r="318" spans="2:5" x14ac:dyDescent="0.15">
      <c r="B318" s="6" t="s">
        <v>1042</v>
      </c>
      <c r="C318" s="6" t="s">
        <v>1045</v>
      </c>
      <c r="D318" s="6" t="s">
        <v>1046</v>
      </c>
      <c r="E318" s="5" t="str">
        <f>HYPERLINK("https://www.esco-net.com/wcs/escort/ec/detail?hHinCd=EA992CL-45","EA992CL-45")</f>
        <v>EA992CL-45</v>
      </c>
    </row>
    <row r="319" spans="2:5" x14ac:dyDescent="0.15">
      <c r="B319" s="6" t="s">
        <v>1047</v>
      </c>
      <c r="C319" s="6" t="s">
        <v>1048</v>
      </c>
      <c r="D319" s="6" t="s">
        <v>1049</v>
      </c>
      <c r="E319" s="5" t="str">
        <f>HYPERLINK("https://www.esco-net.com/wcs/escort/ec/detail?hHinCd=EA508SB-104","EA508SB-104")</f>
        <v>EA508SB-104</v>
      </c>
    </row>
    <row r="320" spans="2:5" x14ac:dyDescent="0.15">
      <c r="B320" s="6" t="s">
        <v>1050</v>
      </c>
      <c r="C320" s="6" t="s">
        <v>1051</v>
      </c>
      <c r="D320" s="6" t="s">
        <v>1052</v>
      </c>
      <c r="E320" s="5" t="str">
        <f>HYPERLINK("https://www.esco-net.com/wcs/escort/ec/detail?hHinCd=EA508SC-162A","EA508SC-162A")</f>
        <v>EA508SC-162A</v>
      </c>
    </row>
    <row r="321" spans="2:5" x14ac:dyDescent="0.15">
      <c r="B321" s="6" t="s">
        <v>1053</v>
      </c>
      <c r="C321" s="6" t="s">
        <v>1054</v>
      </c>
      <c r="D321" s="6" t="s">
        <v>1055</v>
      </c>
      <c r="E321" s="5" t="str">
        <f>HYPERLINK("https://www.esco-net.com/wcs/escort/ec/detail?hHinCd=EA929AC-46","EA929AC-46")</f>
        <v>EA929AC-46</v>
      </c>
    </row>
    <row r="322" spans="2:5" x14ac:dyDescent="0.15">
      <c r="B322" s="6" t="s">
        <v>1056</v>
      </c>
      <c r="C322" s="6" t="s">
        <v>1057</v>
      </c>
      <c r="D322" s="6" t="s">
        <v>1058</v>
      </c>
      <c r="E322" s="5" t="str">
        <f>HYPERLINK("https://www.esco-net.com/wcs/escort/ec/detail?hHinCd=EA929AC-136","EA929AC-136")</f>
        <v>EA929AC-136</v>
      </c>
    </row>
    <row r="323" spans="2:5" x14ac:dyDescent="0.15">
      <c r="B323" s="6" t="s">
        <v>175</v>
      </c>
      <c r="C323" s="6" t="s">
        <v>1059</v>
      </c>
      <c r="D323" s="6" t="s">
        <v>1060</v>
      </c>
      <c r="E323" s="5"/>
    </row>
    <row r="324" spans="2:5" x14ac:dyDescent="0.15">
      <c r="B324" s="6" t="s">
        <v>1061</v>
      </c>
      <c r="C324" s="6" t="s">
        <v>1062</v>
      </c>
      <c r="D324" s="6" t="s">
        <v>1063</v>
      </c>
      <c r="E324" s="5"/>
    </row>
    <row r="325" spans="2:5" x14ac:dyDescent="0.15">
      <c r="B325" s="6" t="s">
        <v>1064</v>
      </c>
      <c r="C325" s="6" t="s">
        <v>1065</v>
      </c>
      <c r="D325" s="6" t="s">
        <v>1066</v>
      </c>
      <c r="E325" s="5" t="str">
        <f>HYPERLINK("https://www.esco-net.com/wcs/escort/ec/detail?hHinCd=EA520H-2","EA520H-2")</f>
        <v>EA520H-2</v>
      </c>
    </row>
    <row r="326" spans="2:5" x14ac:dyDescent="0.15">
      <c r="B326" s="6" t="s">
        <v>1067</v>
      </c>
      <c r="C326" s="6" t="s">
        <v>1068</v>
      </c>
      <c r="D326" s="6" t="s">
        <v>1069</v>
      </c>
      <c r="E326" s="5" t="str">
        <f>HYPERLINK("https://www.esco-net.com/wcs/escort/ec/detail?hHinCd=EA991HB-2B","EA991HB-2B")</f>
        <v>EA991HB-2B</v>
      </c>
    </row>
    <row r="327" spans="2:5" x14ac:dyDescent="0.15">
      <c r="B327" s="6" t="s">
        <v>1070</v>
      </c>
      <c r="C327" s="6" t="s">
        <v>1071</v>
      </c>
      <c r="D327" s="6" t="s">
        <v>1072</v>
      </c>
      <c r="E327" s="5"/>
    </row>
    <row r="328" spans="2:5" x14ac:dyDescent="0.15">
      <c r="B328" s="6" t="s">
        <v>1070</v>
      </c>
      <c r="C328" s="6" t="s">
        <v>1073</v>
      </c>
      <c r="D328" s="6" t="s">
        <v>1074</v>
      </c>
      <c r="E328" s="5"/>
    </row>
    <row r="329" spans="2:5" x14ac:dyDescent="0.15">
      <c r="B329" s="6" t="s">
        <v>1075</v>
      </c>
      <c r="C329" s="6" t="s">
        <v>1076</v>
      </c>
      <c r="D329" s="6" t="s">
        <v>1077</v>
      </c>
      <c r="E329" s="5" t="str">
        <f>HYPERLINK("https://www.esco-net.com/wcs/escort/ec/detail?hHinCd=EA992BJ-41","EA992BJ-41")</f>
        <v>EA992BJ-41</v>
      </c>
    </row>
    <row r="330" spans="2:5" x14ac:dyDescent="0.15">
      <c r="B330" s="6" t="s">
        <v>1078</v>
      </c>
      <c r="C330" s="6" t="s">
        <v>1079</v>
      </c>
      <c r="D330" s="6" t="s">
        <v>1080</v>
      </c>
      <c r="E330" s="5" t="str">
        <f>HYPERLINK("https://www.esco-net.com/wcs/escort/ec/detail?hHinCd=EA991CN-2","EA991CN-2")</f>
        <v>EA991CN-2</v>
      </c>
    </row>
    <row r="331" spans="2:5" x14ac:dyDescent="0.15">
      <c r="B331" s="6" t="s">
        <v>1081</v>
      </c>
      <c r="C331" s="6" t="s">
        <v>1082</v>
      </c>
      <c r="D331" s="6" t="s">
        <v>1083</v>
      </c>
      <c r="E331" s="5" t="str">
        <f>HYPERLINK("https://www.esco-net.com/wcs/escort/ec/detail?hHinCd=EA991CC-4A","EA991CC-4A")</f>
        <v>EA991CC-4A</v>
      </c>
    </row>
    <row r="332" spans="2:5" x14ac:dyDescent="0.15">
      <c r="B332" s="6" t="s">
        <v>1084</v>
      </c>
      <c r="C332" s="6" t="s">
        <v>1085</v>
      </c>
      <c r="D332" s="6" t="s">
        <v>1086</v>
      </c>
      <c r="E332" s="5"/>
    </row>
    <row r="333" spans="2:5" x14ac:dyDescent="0.15">
      <c r="B333" s="6" t="s">
        <v>1084</v>
      </c>
      <c r="C333" s="6" t="s">
        <v>1087</v>
      </c>
      <c r="D333" s="6" t="s">
        <v>1088</v>
      </c>
      <c r="E333" s="5"/>
    </row>
    <row r="334" spans="2:5" x14ac:dyDescent="0.15">
      <c r="B334" s="6" t="s">
        <v>1084</v>
      </c>
      <c r="C334" s="6" t="s">
        <v>1089</v>
      </c>
      <c r="D334" s="6" t="s">
        <v>1090</v>
      </c>
      <c r="E334" s="5"/>
    </row>
    <row r="335" spans="2:5" x14ac:dyDescent="0.15">
      <c r="B335" s="6" t="s">
        <v>1084</v>
      </c>
      <c r="C335" s="6" t="s">
        <v>1091</v>
      </c>
      <c r="D335" s="6" t="s">
        <v>1092</v>
      </c>
      <c r="E335" s="5"/>
    </row>
    <row r="336" spans="2:5" x14ac:dyDescent="0.15">
      <c r="B336" s="6" t="s">
        <v>1084</v>
      </c>
      <c r="C336" s="6" t="s">
        <v>1093</v>
      </c>
      <c r="D336" s="6" t="s">
        <v>1094</v>
      </c>
      <c r="E336" s="5"/>
    </row>
    <row r="337" spans="2:5" x14ac:dyDescent="0.15">
      <c r="B337" s="6" t="s">
        <v>1084</v>
      </c>
      <c r="C337" s="6" t="s">
        <v>1095</v>
      </c>
      <c r="D337" s="6" t="s">
        <v>1096</v>
      </c>
      <c r="E337" s="5"/>
    </row>
    <row r="338" spans="2:5" x14ac:dyDescent="0.15">
      <c r="B338" s="6" t="s">
        <v>1084</v>
      </c>
      <c r="C338" s="6" t="s">
        <v>1097</v>
      </c>
      <c r="D338" s="6" t="s">
        <v>1098</v>
      </c>
      <c r="E338" s="5"/>
    </row>
    <row r="339" spans="2:5" x14ac:dyDescent="0.15">
      <c r="B339" s="6" t="s">
        <v>1084</v>
      </c>
      <c r="C339" s="6" t="s">
        <v>1099</v>
      </c>
      <c r="D339" s="6" t="s">
        <v>1100</v>
      </c>
      <c r="E339" s="5"/>
    </row>
    <row r="340" spans="2:5" x14ac:dyDescent="0.15">
      <c r="B340" s="6" t="s">
        <v>1084</v>
      </c>
      <c r="C340" s="6" t="s">
        <v>1101</v>
      </c>
      <c r="D340" s="6" t="s">
        <v>1102</v>
      </c>
      <c r="E340" s="5"/>
    </row>
    <row r="341" spans="2:5" x14ac:dyDescent="0.15">
      <c r="B341" s="6" t="s">
        <v>1084</v>
      </c>
      <c r="C341" s="6" t="s">
        <v>1103</v>
      </c>
      <c r="D341" s="6" t="s">
        <v>1104</v>
      </c>
      <c r="E341" s="5"/>
    </row>
    <row r="342" spans="2:5" x14ac:dyDescent="0.15">
      <c r="B342" s="6" t="s">
        <v>1084</v>
      </c>
      <c r="C342" s="6" t="s">
        <v>1105</v>
      </c>
      <c r="D342" s="6" t="s">
        <v>1106</v>
      </c>
      <c r="E342" s="5"/>
    </row>
    <row r="343" spans="2:5" x14ac:dyDescent="0.15">
      <c r="B343" s="6" t="s">
        <v>1084</v>
      </c>
      <c r="C343" s="6" t="s">
        <v>1107</v>
      </c>
      <c r="D343" s="6" t="s">
        <v>1108</v>
      </c>
      <c r="E343" s="5"/>
    </row>
    <row r="344" spans="2:5" x14ac:dyDescent="0.15">
      <c r="B344" s="6" t="s">
        <v>1084</v>
      </c>
      <c r="C344" s="6" t="s">
        <v>1109</v>
      </c>
      <c r="D344" s="6" t="s">
        <v>1110</v>
      </c>
      <c r="E344" s="5"/>
    </row>
    <row r="345" spans="2:5" x14ac:dyDescent="0.15">
      <c r="B345" s="6" t="s">
        <v>1084</v>
      </c>
      <c r="C345" s="6" t="s">
        <v>1111</v>
      </c>
      <c r="D345" s="6" t="s">
        <v>1112</v>
      </c>
      <c r="E345" s="5"/>
    </row>
    <row r="346" spans="2:5" x14ac:dyDescent="0.15">
      <c r="B346" s="6" t="s">
        <v>1084</v>
      </c>
      <c r="C346" s="6" t="s">
        <v>1113</v>
      </c>
      <c r="D346" s="6" t="s">
        <v>1114</v>
      </c>
      <c r="E346" s="5"/>
    </row>
    <row r="347" spans="2:5" x14ac:dyDescent="0.15">
      <c r="B347" s="6" t="s">
        <v>1084</v>
      </c>
      <c r="C347" s="6" t="s">
        <v>1115</v>
      </c>
      <c r="D347" s="6" t="s">
        <v>1116</v>
      </c>
      <c r="E347" s="5"/>
    </row>
    <row r="348" spans="2:5" x14ac:dyDescent="0.15">
      <c r="B348" s="6" t="s">
        <v>1084</v>
      </c>
      <c r="C348" s="6" t="s">
        <v>1117</v>
      </c>
      <c r="D348" s="6" t="s">
        <v>1118</v>
      </c>
      <c r="E348" s="5"/>
    </row>
    <row r="349" spans="2:5" x14ac:dyDescent="0.15">
      <c r="B349" s="6" t="s">
        <v>1084</v>
      </c>
      <c r="C349" s="6" t="s">
        <v>1119</v>
      </c>
      <c r="D349" s="6" t="s">
        <v>1120</v>
      </c>
      <c r="E349" s="5"/>
    </row>
    <row r="350" spans="2:5" x14ac:dyDescent="0.15">
      <c r="B350" s="6" t="s">
        <v>1084</v>
      </c>
      <c r="C350" s="6" t="s">
        <v>1121</v>
      </c>
      <c r="D350" s="6" t="s">
        <v>1122</v>
      </c>
      <c r="E350" s="5"/>
    </row>
    <row r="351" spans="2:5" x14ac:dyDescent="0.15">
      <c r="B351" s="6" t="s">
        <v>1084</v>
      </c>
      <c r="C351" s="6" t="s">
        <v>1123</v>
      </c>
      <c r="D351" s="6" t="s">
        <v>1124</v>
      </c>
      <c r="E351" s="5"/>
    </row>
    <row r="352" spans="2:5" x14ac:dyDescent="0.15">
      <c r="B352" s="6" t="s">
        <v>1084</v>
      </c>
      <c r="C352" s="6" t="s">
        <v>1125</v>
      </c>
      <c r="D352" s="6" t="s">
        <v>1126</v>
      </c>
      <c r="E352" s="5"/>
    </row>
    <row r="353" spans="2:5" x14ac:dyDescent="0.15">
      <c r="B353" s="6" t="s">
        <v>1084</v>
      </c>
      <c r="C353" s="6" t="s">
        <v>1127</v>
      </c>
      <c r="D353" s="6" t="s">
        <v>1128</v>
      </c>
      <c r="E353" s="5"/>
    </row>
    <row r="354" spans="2:5" x14ac:dyDescent="0.15">
      <c r="B354" s="6" t="s">
        <v>1084</v>
      </c>
      <c r="C354" s="6" t="s">
        <v>1129</v>
      </c>
      <c r="D354" s="6" t="s">
        <v>1130</v>
      </c>
      <c r="E354" s="5"/>
    </row>
    <row r="355" spans="2:5" x14ac:dyDescent="0.15">
      <c r="B355" s="6" t="s">
        <v>1084</v>
      </c>
      <c r="C355" s="6" t="s">
        <v>1131</v>
      </c>
      <c r="D355" s="6" t="s">
        <v>1132</v>
      </c>
      <c r="E355" s="5"/>
    </row>
    <row r="356" spans="2:5" x14ac:dyDescent="0.15">
      <c r="B356" s="6" t="s">
        <v>1084</v>
      </c>
      <c r="C356" s="6" t="s">
        <v>1133</v>
      </c>
      <c r="D356" s="6" t="s">
        <v>1134</v>
      </c>
      <c r="E356" s="5"/>
    </row>
    <row r="357" spans="2:5" x14ac:dyDescent="0.15">
      <c r="B357" s="6" t="s">
        <v>1084</v>
      </c>
      <c r="C357" s="6" t="s">
        <v>1135</v>
      </c>
      <c r="D357" s="6" t="s">
        <v>1136</v>
      </c>
      <c r="E357" s="5"/>
    </row>
    <row r="358" spans="2:5" x14ac:dyDescent="0.15">
      <c r="B358" s="6" t="s">
        <v>1084</v>
      </c>
      <c r="C358" s="6" t="s">
        <v>1137</v>
      </c>
      <c r="D358" s="6" t="s">
        <v>1138</v>
      </c>
      <c r="E358" s="5"/>
    </row>
    <row r="359" spans="2:5" x14ac:dyDescent="0.15">
      <c r="B359" s="6" t="s">
        <v>1084</v>
      </c>
      <c r="C359" s="6" t="s">
        <v>1139</v>
      </c>
      <c r="D359" s="6" t="s">
        <v>1140</v>
      </c>
      <c r="E359" s="5"/>
    </row>
    <row r="360" spans="2:5" x14ac:dyDescent="0.15">
      <c r="B360" s="6" t="s">
        <v>1084</v>
      </c>
      <c r="C360" s="6" t="s">
        <v>1141</v>
      </c>
      <c r="D360" s="6" t="s">
        <v>1142</v>
      </c>
      <c r="E360" s="5"/>
    </row>
    <row r="361" spans="2:5" x14ac:dyDescent="0.15">
      <c r="B361" s="6" t="s">
        <v>1084</v>
      </c>
      <c r="C361" s="6" t="s">
        <v>1143</v>
      </c>
      <c r="D361" s="6" t="s">
        <v>1144</v>
      </c>
      <c r="E361" s="5"/>
    </row>
    <row r="362" spans="2:5" x14ac:dyDescent="0.15">
      <c r="B362" s="6" t="s">
        <v>1084</v>
      </c>
      <c r="C362" s="6" t="s">
        <v>1145</v>
      </c>
      <c r="D362" s="6" t="s">
        <v>1146</v>
      </c>
      <c r="E362" s="5"/>
    </row>
    <row r="363" spans="2:5" x14ac:dyDescent="0.15">
      <c r="B363" s="6" t="s">
        <v>1084</v>
      </c>
      <c r="C363" s="6" t="s">
        <v>1147</v>
      </c>
      <c r="D363" s="6" t="s">
        <v>1148</v>
      </c>
      <c r="E363" s="5"/>
    </row>
    <row r="364" spans="2:5" x14ac:dyDescent="0.15">
      <c r="B364" s="6" t="s">
        <v>1084</v>
      </c>
      <c r="C364" s="6" t="s">
        <v>1149</v>
      </c>
      <c r="D364" s="6" t="s">
        <v>1150</v>
      </c>
      <c r="E364" s="5"/>
    </row>
    <row r="365" spans="2:5" x14ac:dyDescent="0.15">
      <c r="B365" s="6" t="s">
        <v>1084</v>
      </c>
      <c r="C365" s="6" t="s">
        <v>1151</v>
      </c>
      <c r="D365" s="6" t="s">
        <v>1152</v>
      </c>
      <c r="E365" s="5"/>
    </row>
    <row r="366" spans="2:5" x14ac:dyDescent="0.15">
      <c r="B366" s="6" t="s">
        <v>1084</v>
      </c>
      <c r="C366" s="6" t="s">
        <v>1153</v>
      </c>
      <c r="D366" s="6" t="s">
        <v>1154</v>
      </c>
      <c r="E366" s="5"/>
    </row>
    <row r="367" spans="2:5" x14ac:dyDescent="0.15">
      <c r="B367" s="6" t="s">
        <v>1084</v>
      </c>
      <c r="C367" s="6" t="s">
        <v>1155</v>
      </c>
      <c r="D367" s="6" t="s">
        <v>1156</v>
      </c>
      <c r="E367" s="5"/>
    </row>
    <row r="368" spans="2:5" x14ac:dyDescent="0.15">
      <c r="B368" s="6" t="s">
        <v>1084</v>
      </c>
      <c r="C368" s="6" t="s">
        <v>1157</v>
      </c>
      <c r="D368" s="6" t="s">
        <v>1158</v>
      </c>
      <c r="E368" s="5"/>
    </row>
    <row r="369" spans="2:5" x14ac:dyDescent="0.15">
      <c r="B369" s="6" t="s">
        <v>1084</v>
      </c>
      <c r="C369" s="6" t="s">
        <v>1159</v>
      </c>
      <c r="D369" s="6" t="s">
        <v>1160</v>
      </c>
      <c r="E369" s="5"/>
    </row>
    <row r="370" spans="2:5" x14ac:dyDescent="0.15">
      <c r="B370" s="6" t="s">
        <v>1084</v>
      </c>
      <c r="C370" s="6" t="s">
        <v>1161</v>
      </c>
      <c r="D370" s="6" t="s">
        <v>1162</v>
      </c>
      <c r="E370" s="5"/>
    </row>
    <row r="371" spans="2:5" x14ac:dyDescent="0.15">
      <c r="B371" s="6" t="s">
        <v>1084</v>
      </c>
      <c r="C371" s="6" t="s">
        <v>1163</v>
      </c>
      <c r="D371" s="6" t="s">
        <v>1164</v>
      </c>
      <c r="E371" s="5"/>
    </row>
    <row r="372" spans="2:5" x14ac:dyDescent="0.15">
      <c r="B372" s="6" t="s">
        <v>1084</v>
      </c>
      <c r="C372" s="6" t="s">
        <v>1165</v>
      </c>
      <c r="D372" s="6" t="s">
        <v>1166</v>
      </c>
      <c r="E372" s="5"/>
    </row>
    <row r="373" spans="2:5" x14ac:dyDescent="0.15">
      <c r="B373" s="6" t="s">
        <v>1084</v>
      </c>
      <c r="C373" s="6" t="s">
        <v>1167</v>
      </c>
      <c r="D373" s="6" t="s">
        <v>1168</v>
      </c>
      <c r="E373" s="5"/>
    </row>
    <row r="374" spans="2:5" x14ac:dyDescent="0.15">
      <c r="B374" s="6" t="s">
        <v>1084</v>
      </c>
      <c r="C374" s="6" t="s">
        <v>1169</v>
      </c>
      <c r="D374" s="6" t="s">
        <v>1170</v>
      </c>
      <c r="E374" s="5"/>
    </row>
    <row r="375" spans="2:5" x14ac:dyDescent="0.15">
      <c r="B375" s="6" t="s">
        <v>1084</v>
      </c>
      <c r="C375" s="6" t="s">
        <v>1171</v>
      </c>
      <c r="D375" s="6" t="s">
        <v>1172</v>
      </c>
      <c r="E375" s="5"/>
    </row>
    <row r="376" spans="2:5" x14ac:dyDescent="0.15">
      <c r="B376" s="6" t="s">
        <v>1084</v>
      </c>
      <c r="C376" s="6" t="s">
        <v>1173</v>
      </c>
      <c r="D376" s="6" t="s">
        <v>1174</v>
      </c>
      <c r="E376" s="5"/>
    </row>
    <row r="377" spans="2:5" x14ac:dyDescent="0.15">
      <c r="B377" s="6" t="s">
        <v>1084</v>
      </c>
      <c r="C377" s="6" t="s">
        <v>1175</v>
      </c>
      <c r="D377" s="6" t="s">
        <v>1176</v>
      </c>
      <c r="E377" s="5"/>
    </row>
    <row r="378" spans="2:5" x14ac:dyDescent="0.15">
      <c r="B378" s="6" t="s">
        <v>1084</v>
      </c>
      <c r="C378" s="6" t="s">
        <v>1177</v>
      </c>
      <c r="D378" s="6" t="s">
        <v>1178</v>
      </c>
      <c r="E378" s="5"/>
    </row>
    <row r="379" spans="2:5" x14ac:dyDescent="0.15">
      <c r="B379" s="6" t="s">
        <v>1084</v>
      </c>
      <c r="C379" s="6" t="s">
        <v>1179</v>
      </c>
      <c r="D379" s="6" t="s">
        <v>1180</v>
      </c>
      <c r="E379" s="5"/>
    </row>
    <row r="380" spans="2:5" x14ac:dyDescent="0.15">
      <c r="B380" s="6" t="s">
        <v>1084</v>
      </c>
      <c r="C380" s="6" t="s">
        <v>1181</v>
      </c>
      <c r="D380" s="6" t="s">
        <v>1182</v>
      </c>
      <c r="E380" s="5"/>
    </row>
    <row r="381" spans="2:5" x14ac:dyDescent="0.15">
      <c r="B381" s="6" t="s">
        <v>1084</v>
      </c>
      <c r="C381" s="6" t="s">
        <v>1183</v>
      </c>
      <c r="D381" s="6" t="s">
        <v>1184</v>
      </c>
      <c r="E381" s="5"/>
    </row>
    <row r="382" spans="2:5" x14ac:dyDescent="0.15">
      <c r="B382" s="6" t="s">
        <v>1084</v>
      </c>
      <c r="C382" s="6" t="s">
        <v>1185</v>
      </c>
      <c r="D382" s="6" t="s">
        <v>1186</v>
      </c>
      <c r="E382" s="5"/>
    </row>
    <row r="383" spans="2:5" x14ac:dyDescent="0.15">
      <c r="B383" s="6" t="s">
        <v>1084</v>
      </c>
      <c r="C383" s="6" t="s">
        <v>1187</v>
      </c>
      <c r="D383" s="6" t="s">
        <v>1188</v>
      </c>
      <c r="E383" s="5"/>
    </row>
    <row r="384" spans="2:5" x14ac:dyDescent="0.15">
      <c r="B384" s="6" t="s">
        <v>1084</v>
      </c>
      <c r="C384" s="6" t="s">
        <v>1189</v>
      </c>
      <c r="D384" s="6" t="s">
        <v>1190</v>
      </c>
      <c r="E384" s="5"/>
    </row>
    <row r="385" spans="2:5" x14ac:dyDescent="0.15">
      <c r="B385" s="6" t="s">
        <v>1084</v>
      </c>
      <c r="C385" s="6" t="s">
        <v>1191</v>
      </c>
      <c r="D385" s="6" t="s">
        <v>1192</v>
      </c>
      <c r="E385" s="5"/>
    </row>
    <row r="386" spans="2:5" x14ac:dyDescent="0.15">
      <c r="B386" s="6" t="s">
        <v>1084</v>
      </c>
      <c r="C386" s="6" t="s">
        <v>1193</v>
      </c>
      <c r="D386" s="6" t="s">
        <v>1194</v>
      </c>
      <c r="E386" s="5"/>
    </row>
    <row r="387" spans="2:5" x14ac:dyDescent="0.15">
      <c r="B387" s="6" t="s">
        <v>1084</v>
      </c>
      <c r="C387" s="6" t="s">
        <v>1195</v>
      </c>
      <c r="D387" s="6" t="s">
        <v>1196</v>
      </c>
      <c r="E387" s="5"/>
    </row>
    <row r="388" spans="2:5" x14ac:dyDescent="0.15">
      <c r="B388" s="6" t="s">
        <v>1084</v>
      </c>
      <c r="C388" s="6" t="s">
        <v>1197</v>
      </c>
      <c r="D388" s="6" t="s">
        <v>1198</v>
      </c>
      <c r="E388" s="5"/>
    </row>
    <row r="389" spans="2:5" x14ac:dyDescent="0.15">
      <c r="B389" s="6" t="s">
        <v>1084</v>
      </c>
      <c r="C389" s="6" t="s">
        <v>1199</v>
      </c>
      <c r="D389" s="6" t="s">
        <v>1200</v>
      </c>
      <c r="E389" s="5"/>
    </row>
    <row r="390" spans="2:5" x14ac:dyDescent="0.15">
      <c r="B390" s="6" t="s">
        <v>1084</v>
      </c>
      <c r="C390" s="6" t="s">
        <v>1201</v>
      </c>
      <c r="D390" s="6" t="s">
        <v>1202</v>
      </c>
      <c r="E390" s="5"/>
    </row>
    <row r="391" spans="2:5" x14ac:dyDescent="0.15">
      <c r="B391" s="6" t="s">
        <v>1084</v>
      </c>
      <c r="C391" s="6" t="s">
        <v>1203</v>
      </c>
      <c r="D391" s="6" t="s">
        <v>1204</v>
      </c>
      <c r="E391" s="5"/>
    </row>
    <row r="392" spans="2:5" x14ac:dyDescent="0.15">
      <c r="B392" s="6" t="s">
        <v>1084</v>
      </c>
      <c r="C392" s="6" t="s">
        <v>1205</v>
      </c>
      <c r="D392" s="6" t="s">
        <v>1206</v>
      </c>
      <c r="E392" s="5"/>
    </row>
    <row r="393" spans="2:5" x14ac:dyDescent="0.15">
      <c r="B393" s="6" t="s">
        <v>1084</v>
      </c>
      <c r="C393" s="6" t="s">
        <v>1207</v>
      </c>
      <c r="D393" s="6" t="s">
        <v>1208</v>
      </c>
      <c r="E393" s="5"/>
    </row>
    <row r="394" spans="2:5" x14ac:dyDescent="0.15">
      <c r="B394" s="6" t="s">
        <v>1084</v>
      </c>
      <c r="C394" s="6" t="s">
        <v>1209</v>
      </c>
      <c r="D394" s="6" t="s">
        <v>1210</v>
      </c>
      <c r="E394" s="5"/>
    </row>
    <row r="395" spans="2:5" x14ac:dyDescent="0.15">
      <c r="B395" s="6" t="s">
        <v>1084</v>
      </c>
      <c r="C395" s="6" t="s">
        <v>1211</v>
      </c>
      <c r="D395" s="6" t="s">
        <v>1212</v>
      </c>
      <c r="E395" s="5"/>
    </row>
    <row r="396" spans="2:5" x14ac:dyDescent="0.15">
      <c r="B396" s="6" t="s">
        <v>1084</v>
      </c>
      <c r="C396" s="6" t="s">
        <v>1213</v>
      </c>
      <c r="D396" s="6" t="s">
        <v>1214</v>
      </c>
      <c r="E396" s="5"/>
    </row>
    <row r="397" spans="2:5" x14ac:dyDescent="0.15">
      <c r="B397" s="6" t="s">
        <v>1084</v>
      </c>
      <c r="C397" s="6" t="s">
        <v>1215</v>
      </c>
      <c r="D397" s="6" t="s">
        <v>1216</v>
      </c>
      <c r="E397" s="5"/>
    </row>
    <row r="398" spans="2:5" x14ac:dyDescent="0.15">
      <c r="B398" s="6" t="s">
        <v>1084</v>
      </c>
      <c r="C398" s="6" t="s">
        <v>1217</v>
      </c>
      <c r="D398" s="6" t="s">
        <v>1218</v>
      </c>
      <c r="E398" s="5"/>
    </row>
    <row r="399" spans="2:5" x14ac:dyDescent="0.15">
      <c r="B399" s="6" t="s">
        <v>1084</v>
      </c>
      <c r="C399" s="6" t="s">
        <v>1219</v>
      </c>
      <c r="D399" s="6" t="s">
        <v>1220</v>
      </c>
      <c r="E399" s="5"/>
    </row>
    <row r="400" spans="2:5" x14ac:dyDescent="0.15">
      <c r="B400" s="6" t="s">
        <v>1084</v>
      </c>
      <c r="C400" s="6" t="s">
        <v>1221</v>
      </c>
      <c r="D400" s="6" t="s">
        <v>1222</v>
      </c>
      <c r="E400" s="5"/>
    </row>
    <row r="401" spans="2:5" x14ac:dyDescent="0.15">
      <c r="B401" s="6" t="s">
        <v>1084</v>
      </c>
      <c r="C401" s="6" t="s">
        <v>1223</v>
      </c>
      <c r="D401" s="6" t="s">
        <v>1224</v>
      </c>
      <c r="E401" s="5"/>
    </row>
    <row r="402" spans="2:5" x14ac:dyDescent="0.15">
      <c r="B402" s="6" t="s">
        <v>1084</v>
      </c>
      <c r="C402" s="6" t="s">
        <v>1225</v>
      </c>
      <c r="D402" s="6" t="s">
        <v>1226</v>
      </c>
      <c r="E402" s="5"/>
    </row>
    <row r="403" spans="2:5" x14ac:dyDescent="0.15">
      <c r="B403" s="6" t="s">
        <v>1084</v>
      </c>
      <c r="C403" s="6" t="s">
        <v>1227</v>
      </c>
      <c r="D403" s="6" t="s">
        <v>1228</v>
      </c>
      <c r="E403" s="5"/>
    </row>
    <row r="404" spans="2:5" x14ac:dyDescent="0.15">
      <c r="B404" s="6" t="s">
        <v>1084</v>
      </c>
      <c r="C404" s="6" t="s">
        <v>1229</v>
      </c>
      <c r="D404" s="6" t="s">
        <v>1230</v>
      </c>
      <c r="E404" s="5"/>
    </row>
    <row r="405" spans="2:5" x14ac:dyDescent="0.15">
      <c r="B405" s="6" t="s">
        <v>1084</v>
      </c>
      <c r="C405" s="6" t="s">
        <v>1231</v>
      </c>
      <c r="D405" s="6" t="s">
        <v>1232</v>
      </c>
      <c r="E405" s="5"/>
    </row>
    <row r="406" spans="2:5" x14ac:dyDescent="0.15">
      <c r="B406" s="6" t="s">
        <v>1084</v>
      </c>
      <c r="C406" s="6" t="s">
        <v>1233</v>
      </c>
      <c r="D406" s="6" t="s">
        <v>1234</v>
      </c>
      <c r="E406" s="5"/>
    </row>
    <row r="407" spans="2:5" x14ac:dyDescent="0.15">
      <c r="B407" s="6" t="s">
        <v>1084</v>
      </c>
      <c r="C407" s="6" t="s">
        <v>1235</v>
      </c>
      <c r="D407" s="6" t="s">
        <v>1236</v>
      </c>
      <c r="E407" s="5"/>
    </row>
    <row r="408" spans="2:5" x14ac:dyDescent="0.15">
      <c r="B408" s="6" t="s">
        <v>1084</v>
      </c>
      <c r="C408" s="6" t="s">
        <v>1237</v>
      </c>
      <c r="D408" s="6" t="s">
        <v>1238</v>
      </c>
      <c r="E408" s="5"/>
    </row>
    <row r="409" spans="2:5" x14ac:dyDescent="0.15">
      <c r="B409" s="6" t="s">
        <v>1084</v>
      </c>
      <c r="C409" s="6" t="s">
        <v>1239</v>
      </c>
      <c r="D409" s="6" t="s">
        <v>1240</v>
      </c>
      <c r="E409" s="5"/>
    </row>
    <row r="410" spans="2:5" x14ac:dyDescent="0.15">
      <c r="B410" s="6" t="s">
        <v>1084</v>
      </c>
      <c r="C410" s="6" t="s">
        <v>1241</v>
      </c>
      <c r="D410" s="6" t="s">
        <v>1242</v>
      </c>
      <c r="E410" s="5"/>
    </row>
    <row r="411" spans="2:5" x14ac:dyDescent="0.15">
      <c r="B411" s="6" t="s">
        <v>1243</v>
      </c>
      <c r="C411" s="6" t="s">
        <v>1244</v>
      </c>
      <c r="D411" s="6" t="s">
        <v>1245</v>
      </c>
      <c r="E411" s="5" t="str">
        <f>HYPERLINK("https://www.esco-net.com/wcs/escort/ec/detail?hHinCd=EA781BH-20","EA781BH-20")</f>
        <v>EA781BH-20</v>
      </c>
    </row>
    <row r="412" spans="2:5" x14ac:dyDescent="0.15">
      <c r="B412" s="6" t="s">
        <v>1246</v>
      </c>
      <c r="C412" s="6" t="s">
        <v>1247</v>
      </c>
      <c r="D412" s="6" t="s">
        <v>1248</v>
      </c>
      <c r="E412" s="5"/>
    </row>
    <row r="413" spans="2:5" x14ac:dyDescent="0.15">
      <c r="B413" s="6" t="s">
        <v>1246</v>
      </c>
      <c r="C413" s="6" t="s">
        <v>1249</v>
      </c>
      <c r="D413" s="6" t="s">
        <v>1250</v>
      </c>
      <c r="E413" s="5"/>
    </row>
    <row r="414" spans="2:5" x14ac:dyDescent="0.15">
      <c r="B414" s="6" t="s">
        <v>176</v>
      </c>
      <c r="C414" s="6" t="s">
        <v>1251</v>
      </c>
      <c r="D414" s="6" t="s">
        <v>1252</v>
      </c>
      <c r="E414" s="5"/>
    </row>
    <row r="415" spans="2:5" x14ac:dyDescent="0.15">
      <c r="B415" s="6" t="s">
        <v>1253</v>
      </c>
      <c r="C415" s="6" t="s">
        <v>1254</v>
      </c>
      <c r="D415" s="6" t="s">
        <v>1255</v>
      </c>
      <c r="E415" s="5" t="str">
        <f>HYPERLINK("https://www.esco-net.com/wcs/escort/ec/detail?hHinCd=EA639YB-4","EA639YB-4")</f>
        <v>EA639YB-4</v>
      </c>
    </row>
    <row r="416" spans="2:5" x14ac:dyDescent="0.15">
      <c r="B416" s="6" t="s">
        <v>34</v>
      </c>
      <c r="C416" s="6" t="s">
        <v>1256</v>
      </c>
      <c r="D416" s="6" t="s">
        <v>1257</v>
      </c>
      <c r="E416" s="5" t="str">
        <f>HYPERLINK("https://www.esco-net.com/wcs/escort/ec/detail?hHinCd=EA595HA-201","EA595HA-201")</f>
        <v>EA595HA-201</v>
      </c>
    </row>
    <row r="417" spans="2:5" x14ac:dyDescent="0.15">
      <c r="B417" s="6" t="s">
        <v>177</v>
      </c>
      <c r="C417" s="6" t="s">
        <v>1258</v>
      </c>
      <c r="D417" s="6" t="s">
        <v>1259</v>
      </c>
      <c r="E417" s="5" t="str">
        <f>HYPERLINK("https://www.esco-net.com/wcs/escort/ec/detail?hHinCd=EA595LA-31","EA595LA-31")</f>
        <v>EA595LA-31</v>
      </c>
    </row>
    <row r="418" spans="2:5" x14ac:dyDescent="0.15">
      <c r="B418" s="6" t="s">
        <v>1260</v>
      </c>
      <c r="C418" s="6" t="s">
        <v>1261</v>
      </c>
      <c r="D418" s="6" t="s">
        <v>1262</v>
      </c>
      <c r="E418" s="5" t="str">
        <f>HYPERLINK("https://www.esco-net.com/wcs/escort/ec/detail?hHinCd=EA756TB-7","EA756TB-7")</f>
        <v>EA756TB-7</v>
      </c>
    </row>
    <row r="419" spans="2:5" x14ac:dyDescent="0.15">
      <c r="B419" s="6" t="s">
        <v>1260</v>
      </c>
      <c r="C419" s="6" t="s">
        <v>1263</v>
      </c>
      <c r="D419" s="6" t="s">
        <v>1264</v>
      </c>
      <c r="E419" s="5" t="str">
        <f>HYPERLINK("https://www.esco-net.com/wcs/escort/ec/detail?hHinCd=EA756TS-47A","EA756TS-47A")</f>
        <v>EA756TS-47A</v>
      </c>
    </row>
    <row r="420" spans="2:5" x14ac:dyDescent="0.15">
      <c r="B420" s="6" t="s">
        <v>1265</v>
      </c>
      <c r="C420" s="6" t="s">
        <v>1266</v>
      </c>
      <c r="D420" s="6" t="s">
        <v>1267</v>
      </c>
      <c r="E420" s="5"/>
    </row>
    <row r="421" spans="2:5" x14ac:dyDescent="0.15">
      <c r="B421" s="6" t="s">
        <v>1268</v>
      </c>
      <c r="C421" s="6" t="s">
        <v>1269</v>
      </c>
      <c r="D421" s="6" t="s">
        <v>1270</v>
      </c>
      <c r="E421" s="5"/>
    </row>
    <row r="422" spans="2:5" x14ac:dyDescent="0.15">
      <c r="B422" s="6" t="s">
        <v>1268</v>
      </c>
      <c r="C422" s="6" t="s">
        <v>1271</v>
      </c>
      <c r="D422" s="6" t="s">
        <v>1272</v>
      </c>
      <c r="E422" s="5" t="str">
        <f>HYPERLINK("https://www.esco-net.com/wcs/escort/ec/detail?hHinCd=EA756FC-6","EA756FC-6")</f>
        <v>EA756FC-6</v>
      </c>
    </row>
    <row r="423" spans="2:5" x14ac:dyDescent="0.15">
      <c r="B423" s="6" t="s">
        <v>1268</v>
      </c>
      <c r="C423" s="6" t="s">
        <v>1273</v>
      </c>
      <c r="D423" s="6" t="s">
        <v>1272</v>
      </c>
      <c r="E423" s="5" t="str">
        <f>HYPERLINK("https://www.esco-net.com/wcs/escort/ec/detail?hHinCd=EA756FA-11","EA756FA-11")</f>
        <v>EA756FA-11</v>
      </c>
    </row>
    <row r="424" spans="2:5" x14ac:dyDescent="0.15">
      <c r="B424" s="6" t="s">
        <v>15</v>
      </c>
      <c r="C424" s="6" t="s">
        <v>1274</v>
      </c>
      <c r="D424" s="6" t="s">
        <v>1275</v>
      </c>
      <c r="E424" s="5" t="str">
        <f>HYPERLINK("https://www.esco-net.com/wcs/escort/ec/detail?hHinCd=EA756CB-71","EA756CB-71")</f>
        <v>EA756CB-71</v>
      </c>
    </row>
    <row r="425" spans="2:5" x14ac:dyDescent="0.15">
      <c r="B425" s="6" t="s">
        <v>178</v>
      </c>
      <c r="C425" s="6" t="s">
        <v>1276</v>
      </c>
      <c r="D425" s="6" t="s">
        <v>1277</v>
      </c>
      <c r="E425" s="5" t="str">
        <f>HYPERLINK("https://www.esco-net.com/wcs/escort/ec/detail?hHinCd=EA304ZR-10","EA304ZR-10")</f>
        <v>EA304ZR-10</v>
      </c>
    </row>
    <row r="426" spans="2:5" x14ac:dyDescent="0.15">
      <c r="B426" s="6" t="s">
        <v>1278</v>
      </c>
      <c r="C426" s="6" t="s">
        <v>1279</v>
      </c>
      <c r="D426" s="6" t="s">
        <v>1280</v>
      </c>
      <c r="E426" s="5"/>
    </row>
    <row r="427" spans="2:5" x14ac:dyDescent="0.15">
      <c r="B427" s="6" t="s">
        <v>1278</v>
      </c>
      <c r="C427" s="6" t="s">
        <v>1281</v>
      </c>
      <c r="D427" s="6" t="s">
        <v>1282</v>
      </c>
      <c r="E427" s="5" t="str">
        <f>HYPERLINK("https://www.esco-net.com/wcs/escort/ec/detail?hHinCd=EA304HA-60","EA304HA-60")</f>
        <v>EA304HA-60</v>
      </c>
    </row>
    <row r="428" spans="2:5" x14ac:dyDescent="0.15">
      <c r="B428" s="6" t="s">
        <v>1283</v>
      </c>
      <c r="C428" s="6" t="s">
        <v>1284</v>
      </c>
      <c r="D428" s="6" t="s">
        <v>1285</v>
      </c>
      <c r="E428" s="5" t="str">
        <f>HYPERLINK("https://www.esco-net.com/wcs/escort/ec/detail?hHinCd=EA305ZA-1","EA305ZA-1")</f>
        <v>EA305ZA-1</v>
      </c>
    </row>
    <row r="429" spans="2:5" x14ac:dyDescent="0.15">
      <c r="B429" s="6" t="s">
        <v>1286</v>
      </c>
      <c r="C429" s="6" t="s">
        <v>1287</v>
      </c>
      <c r="D429" s="6" t="s">
        <v>1288</v>
      </c>
      <c r="E429" s="5" t="str">
        <f>HYPERLINK("https://www.esco-net.com/wcs/escort/ec/detail?hHinCd=EA305ZC-1","EA305ZC-1")</f>
        <v>EA305ZC-1</v>
      </c>
    </row>
    <row r="430" spans="2:5" x14ac:dyDescent="0.15">
      <c r="B430" s="6" t="s">
        <v>179</v>
      </c>
      <c r="C430" s="6" t="s">
        <v>1289</v>
      </c>
      <c r="D430" s="6" t="s">
        <v>1290</v>
      </c>
      <c r="E430" s="5" t="str">
        <f>HYPERLINK("https://www.esco-net.com/wcs/escort/ec/detail?hHinCd=EA311CB-23","EA311CB-23")</f>
        <v>EA311CB-23</v>
      </c>
    </row>
    <row r="431" spans="2:5" x14ac:dyDescent="0.15">
      <c r="B431" s="6" t="s">
        <v>179</v>
      </c>
      <c r="C431" s="6" t="s">
        <v>1291</v>
      </c>
      <c r="D431" s="6" t="s">
        <v>1292</v>
      </c>
      <c r="E431" s="5" t="str">
        <f>HYPERLINK("https://www.esco-net.com/wcs/escort/ec/detail?hHinCd=EA311CD-12","EA311CD-12")</f>
        <v>EA311CD-12</v>
      </c>
    </row>
    <row r="432" spans="2:5" x14ac:dyDescent="0.15">
      <c r="B432" s="6" t="s">
        <v>179</v>
      </c>
      <c r="C432" s="6" t="s">
        <v>1293</v>
      </c>
      <c r="D432" s="6" t="s">
        <v>1294</v>
      </c>
      <c r="E432" s="5" t="str">
        <f>HYPERLINK("https://www.esco-net.com/wcs/escort/ec/detail?hHinCd=EA311CD-24","EA311CD-24")</f>
        <v>EA311CD-24</v>
      </c>
    </row>
    <row r="433" spans="2:5" x14ac:dyDescent="0.15">
      <c r="B433" s="6" t="s">
        <v>1295</v>
      </c>
      <c r="C433" s="6" t="s">
        <v>1296</v>
      </c>
      <c r="D433" s="6" t="s">
        <v>1297</v>
      </c>
      <c r="E433" s="5" t="str">
        <f>HYPERLINK("https://www.esco-net.com/wcs/escort/ec/detail?hHinCd=EA321A-11B","EA321A-11B")</f>
        <v>EA321A-11B</v>
      </c>
    </row>
    <row r="434" spans="2:5" x14ac:dyDescent="0.15">
      <c r="B434" s="6" t="s">
        <v>1295</v>
      </c>
      <c r="C434" s="6" t="s">
        <v>1298</v>
      </c>
      <c r="D434" s="6" t="s">
        <v>1299</v>
      </c>
      <c r="E434" s="5" t="str">
        <f>HYPERLINK("https://www.esco-net.com/wcs/escort/ec/detail?hHinCd=EA321A-12B","EA321A-12B")</f>
        <v>EA321A-12B</v>
      </c>
    </row>
    <row r="435" spans="2:5" x14ac:dyDescent="0.15">
      <c r="B435" s="6" t="s">
        <v>1300</v>
      </c>
      <c r="C435" s="6" t="s">
        <v>1301</v>
      </c>
      <c r="D435" s="6" t="s">
        <v>1302</v>
      </c>
      <c r="E435" s="5" t="str">
        <f>HYPERLINK("https://www.esco-net.com/wcs/escort/ec/detail?hHinCd=EA997RB-24","EA997RB-24")</f>
        <v>EA997RB-24</v>
      </c>
    </row>
    <row r="436" spans="2:5" x14ac:dyDescent="0.15">
      <c r="B436" s="6" t="s">
        <v>1303</v>
      </c>
      <c r="C436" s="6" t="s">
        <v>1304</v>
      </c>
      <c r="D436" s="6" t="s">
        <v>1305</v>
      </c>
      <c r="E436" s="5" t="str">
        <f>HYPERLINK("https://www.esco-net.com/wcs/escort/ec/detail?hHinCd=EA956XW-9","EA956XW-9")</f>
        <v>EA956XW-9</v>
      </c>
    </row>
    <row r="437" spans="2:5" x14ac:dyDescent="0.15">
      <c r="B437" s="6" t="s">
        <v>1306</v>
      </c>
      <c r="C437" s="6" t="s">
        <v>1307</v>
      </c>
      <c r="D437" s="6" t="s">
        <v>1308</v>
      </c>
      <c r="E437" s="5" t="str">
        <f>HYPERLINK("https://www.esco-net.com/wcs/escort/ec/detail?hHinCd=EA109DY-118","EA109DY-118")</f>
        <v>EA109DY-118</v>
      </c>
    </row>
    <row r="438" spans="2:5" x14ac:dyDescent="0.15">
      <c r="B438" s="6" t="s">
        <v>1309</v>
      </c>
      <c r="C438" s="6" t="s">
        <v>1310</v>
      </c>
      <c r="D438" s="6" t="s">
        <v>1311</v>
      </c>
      <c r="E438" s="5" t="str">
        <f>HYPERLINK("https://www.esco-net.com/wcs/escort/ec/detail?hHinCd=EA720ME-24","EA720ME-24")</f>
        <v>EA720ME-24</v>
      </c>
    </row>
    <row r="439" spans="2:5" x14ac:dyDescent="0.15">
      <c r="B439" s="6" t="s">
        <v>1312</v>
      </c>
      <c r="C439" s="6" t="s">
        <v>1313</v>
      </c>
      <c r="D439" s="6" t="s">
        <v>1314</v>
      </c>
      <c r="E439" s="5" t="str">
        <f>HYPERLINK("https://www.esco-net.com/wcs/escort/ec/detail?hHinCd=EA720JK-22A","EA720JK-22A")</f>
        <v>EA720JK-22A</v>
      </c>
    </row>
    <row r="440" spans="2:5" x14ac:dyDescent="0.15">
      <c r="B440" s="6" t="s">
        <v>180</v>
      </c>
      <c r="C440" s="6" t="s">
        <v>1315</v>
      </c>
      <c r="D440" s="6" t="s">
        <v>1316</v>
      </c>
      <c r="E440" s="5" t="str">
        <f>HYPERLINK("https://www.esco-net.com/wcs/escort/ec/detail?hHinCd=EA720CS-355","EA720CS-355")</f>
        <v>EA720CS-355</v>
      </c>
    </row>
    <row r="441" spans="2:5" x14ac:dyDescent="0.15">
      <c r="B441" s="6" t="s">
        <v>1317</v>
      </c>
      <c r="C441" s="6" t="s">
        <v>1318</v>
      </c>
      <c r="D441" s="6" t="s">
        <v>1319</v>
      </c>
      <c r="E441" s="5"/>
    </row>
    <row r="442" spans="2:5" x14ac:dyDescent="0.15">
      <c r="B442" s="6" t="s">
        <v>1317</v>
      </c>
      <c r="C442" s="6" t="s">
        <v>1320</v>
      </c>
      <c r="D442" s="6" t="s">
        <v>1321</v>
      </c>
      <c r="E442" s="5"/>
    </row>
    <row r="443" spans="2:5" x14ac:dyDescent="0.15">
      <c r="B443" s="6" t="s">
        <v>1317</v>
      </c>
      <c r="C443" s="6" t="s">
        <v>1322</v>
      </c>
      <c r="D443" s="6" t="s">
        <v>1323</v>
      </c>
      <c r="E443" s="5"/>
    </row>
    <row r="444" spans="2:5" x14ac:dyDescent="0.15">
      <c r="B444" s="6" t="s">
        <v>1324</v>
      </c>
      <c r="C444" s="6" t="s">
        <v>1325</v>
      </c>
      <c r="D444" s="6" t="s">
        <v>1326</v>
      </c>
      <c r="E444" s="5" t="str">
        <f>HYPERLINK("https://www.esco-net.com/wcs/escort/ec/detail?hHinCd=EA581DA-3","EA581DA-3")</f>
        <v>EA581DA-3</v>
      </c>
    </row>
    <row r="445" spans="2:5" x14ac:dyDescent="0.15">
      <c r="B445" s="6" t="s">
        <v>1324</v>
      </c>
      <c r="C445" s="6" t="s">
        <v>1327</v>
      </c>
      <c r="D445" s="6" t="s">
        <v>1328</v>
      </c>
      <c r="E445" s="5" t="str">
        <f>HYPERLINK("https://www.esco-net.com/wcs/escort/ec/detail?hHinCd=EA581DA-31","EA581DA-31")</f>
        <v>EA581DA-31</v>
      </c>
    </row>
    <row r="446" spans="2:5" x14ac:dyDescent="0.15">
      <c r="B446" s="6" t="s">
        <v>83</v>
      </c>
      <c r="C446" s="6" t="s">
        <v>1329</v>
      </c>
      <c r="D446" s="6" t="s">
        <v>1330</v>
      </c>
      <c r="E446" s="5" t="str">
        <f>HYPERLINK("https://www.esco-net.com/wcs/escort/ec/detail?hHinCd=EA581CA-3","EA581CA-3")</f>
        <v>EA581CA-3</v>
      </c>
    </row>
    <row r="447" spans="2:5" x14ac:dyDescent="0.15">
      <c r="B447" s="6" t="s">
        <v>1331</v>
      </c>
      <c r="C447" s="6" t="s">
        <v>1332</v>
      </c>
      <c r="D447" s="6" t="s">
        <v>1333</v>
      </c>
      <c r="E447" s="5" t="str">
        <f>HYPERLINK("https://www.esco-net.com/wcs/escort/ec/detail?hHinCd=EA780KA-6A","EA780KA-6A")</f>
        <v>EA780KA-6A</v>
      </c>
    </row>
    <row r="448" spans="2:5" x14ac:dyDescent="0.15">
      <c r="B448" s="6" t="s">
        <v>16</v>
      </c>
      <c r="C448" s="6" t="s">
        <v>1334</v>
      </c>
      <c r="D448" s="6" t="s">
        <v>1335</v>
      </c>
      <c r="E448" s="5" t="str">
        <f>HYPERLINK("https://www.esco-net.com/wcs/escort/ec/detail?hHinCd=EA721JM-3A","EA721JM-3A")</f>
        <v>EA721JM-3A</v>
      </c>
    </row>
    <row r="449" spans="2:5" x14ac:dyDescent="0.15">
      <c r="B449" s="6" t="s">
        <v>16</v>
      </c>
      <c r="C449" s="6" t="s">
        <v>1336</v>
      </c>
      <c r="D449" s="6" t="s">
        <v>1337</v>
      </c>
      <c r="E449" s="5" t="str">
        <f>HYPERLINK("https://www.esco-net.com/wcs/escort/ec/detail?hHinCd=EA721K-6","EA721K-6")</f>
        <v>EA721K-6</v>
      </c>
    </row>
    <row r="450" spans="2:5" x14ac:dyDescent="0.15">
      <c r="B450" s="6" t="s">
        <v>1338</v>
      </c>
      <c r="C450" s="6" t="s">
        <v>1339</v>
      </c>
      <c r="D450" s="6" t="s">
        <v>1340</v>
      </c>
      <c r="E450" s="5"/>
    </row>
    <row r="451" spans="2:5" x14ac:dyDescent="0.15">
      <c r="B451" s="6" t="s">
        <v>1338</v>
      </c>
      <c r="C451" s="6" t="s">
        <v>1341</v>
      </c>
      <c r="D451" s="6" t="s">
        <v>1342</v>
      </c>
      <c r="E451" s="5"/>
    </row>
    <row r="452" spans="2:5" x14ac:dyDescent="0.15">
      <c r="B452" s="6" t="s">
        <v>1343</v>
      </c>
      <c r="C452" s="6" t="s">
        <v>1344</v>
      </c>
      <c r="D452" s="6" t="s">
        <v>1345</v>
      </c>
      <c r="E452" s="5" t="str">
        <f>HYPERLINK("https://www.esco-net.com/wcs/escort/ec/detail?hHinCd=EA721SA-3","EA721SA-3")</f>
        <v>EA721SA-3</v>
      </c>
    </row>
    <row r="453" spans="2:5" x14ac:dyDescent="0.15">
      <c r="B453" s="6" t="s">
        <v>1346</v>
      </c>
      <c r="C453" s="6" t="s">
        <v>1347</v>
      </c>
      <c r="D453" s="6" t="s">
        <v>1348</v>
      </c>
      <c r="E453" s="5" t="str">
        <f>HYPERLINK("https://www.esco-net.com/wcs/escort/ec/detail?hHinCd=EA719AN-2","EA719AN-2")</f>
        <v>EA719AN-2</v>
      </c>
    </row>
    <row r="454" spans="2:5" x14ac:dyDescent="0.15">
      <c r="B454" s="6" t="s">
        <v>181</v>
      </c>
      <c r="C454" s="6" t="s">
        <v>1349</v>
      </c>
      <c r="D454" s="6" t="s">
        <v>1350</v>
      </c>
      <c r="E454" s="5" t="str">
        <f>HYPERLINK("https://www.esco-net.com/wcs/escort/ec/detail?hHinCd=EA720YB-15","EA720YB-15")</f>
        <v>EA720YB-15</v>
      </c>
    </row>
    <row r="455" spans="2:5" x14ac:dyDescent="0.15">
      <c r="B455" s="6" t="s">
        <v>181</v>
      </c>
      <c r="C455" s="6" t="s">
        <v>1351</v>
      </c>
      <c r="D455" s="6" t="s">
        <v>1352</v>
      </c>
      <c r="E455" s="5" t="str">
        <f>HYPERLINK("https://www.esco-net.com/wcs/escort/ec/detail?hHinCd=EA720YS-4","EA720YS-4")</f>
        <v>EA720YS-4</v>
      </c>
    </row>
    <row r="456" spans="2:5" x14ac:dyDescent="0.15">
      <c r="B456" s="6" t="s">
        <v>181</v>
      </c>
      <c r="C456" s="6" t="s">
        <v>1353</v>
      </c>
      <c r="D456" s="6" t="s">
        <v>1354</v>
      </c>
      <c r="E456" s="5" t="str">
        <f>HYPERLINK("https://www.esco-net.com/wcs/escort/ec/detail?hHinCd=EA720YH-102","EA720YH-102")</f>
        <v>EA720YH-102</v>
      </c>
    </row>
    <row r="457" spans="2:5" x14ac:dyDescent="0.15">
      <c r="B457" s="6" t="s">
        <v>182</v>
      </c>
      <c r="C457" s="6" t="s">
        <v>1355</v>
      </c>
      <c r="D457" s="6" t="s">
        <v>1356</v>
      </c>
      <c r="E457" s="5" t="str">
        <f>HYPERLINK("https://www.esco-net.com/wcs/escort/ec/detail?hHinCd=EA725DC-20B","EA725DC-20B")</f>
        <v>EA725DC-20B</v>
      </c>
    </row>
    <row r="458" spans="2:5" x14ac:dyDescent="0.15">
      <c r="B458" s="6" t="s">
        <v>1357</v>
      </c>
      <c r="C458" s="6" t="s">
        <v>1358</v>
      </c>
      <c r="D458" s="6" t="s">
        <v>1359</v>
      </c>
      <c r="E458" s="5" t="str">
        <f>HYPERLINK("https://www.esco-net.com/wcs/escort/ec/detail?hHinCd=EA725BE-12","EA725BE-12")</f>
        <v>EA725BE-12</v>
      </c>
    </row>
    <row r="459" spans="2:5" x14ac:dyDescent="0.15">
      <c r="B459" s="6" t="s">
        <v>1360</v>
      </c>
      <c r="C459" s="6" t="s">
        <v>1361</v>
      </c>
      <c r="D459" s="6" t="s">
        <v>1362</v>
      </c>
      <c r="E459" s="5"/>
    </row>
    <row r="460" spans="2:5" x14ac:dyDescent="0.15">
      <c r="B460" s="6" t="s">
        <v>17</v>
      </c>
      <c r="C460" s="6" t="s">
        <v>1363</v>
      </c>
      <c r="D460" s="6" t="s">
        <v>1364</v>
      </c>
      <c r="E460" s="5" t="str">
        <f>HYPERLINK("https://www.esco-net.com/wcs/escort/ec/detail?hHinCd=EA725RB-61","EA725RB-61")</f>
        <v>EA725RB-61</v>
      </c>
    </row>
    <row r="461" spans="2:5" x14ac:dyDescent="0.15">
      <c r="B461" s="6" t="s">
        <v>17</v>
      </c>
      <c r="C461" s="6" t="s">
        <v>1365</v>
      </c>
      <c r="D461" s="6" t="s">
        <v>84</v>
      </c>
      <c r="E461" s="5"/>
    </row>
    <row r="462" spans="2:5" x14ac:dyDescent="0.15">
      <c r="B462" s="6" t="s">
        <v>17</v>
      </c>
      <c r="C462" s="6" t="s">
        <v>1366</v>
      </c>
      <c r="D462" s="6" t="s">
        <v>84</v>
      </c>
      <c r="E462" s="5"/>
    </row>
    <row r="463" spans="2:5" x14ac:dyDescent="0.15">
      <c r="B463" s="6" t="s">
        <v>1367</v>
      </c>
      <c r="C463" s="6" t="s">
        <v>1368</v>
      </c>
      <c r="D463" s="6" t="s">
        <v>1369</v>
      </c>
      <c r="E463" s="5" t="str">
        <f>HYPERLINK("https://www.esco-net.com/wcs/escort/ec/detail?hHinCd=EA706X-3","EA706X-3")</f>
        <v>EA706X-3</v>
      </c>
    </row>
    <row r="464" spans="2:5" x14ac:dyDescent="0.15">
      <c r="B464" s="6" t="s">
        <v>1370</v>
      </c>
      <c r="C464" s="6" t="s">
        <v>1371</v>
      </c>
      <c r="D464" s="6" t="s">
        <v>1372</v>
      </c>
      <c r="E464" s="5" t="str">
        <f>HYPERLINK("https://www.esco-net.com/wcs/escort/ec/detail?hHinCd=EA470CR-2","EA470CR-2")</f>
        <v>EA470CR-2</v>
      </c>
    </row>
    <row r="465" spans="2:5" x14ac:dyDescent="0.15">
      <c r="B465" s="6" t="s">
        <v>1370</v>
      </c>
      <c r="C465" s="6" t="s">
        <v>1373</v>
      </c>
      <c r="D465" s="6" t="s">
        <v>1374</v>
      </c>
      <c r="E465" s="5" t="str">
        <f>HYPERLINK("https://www.esco-net.com/wcs/escort/ec/detail?hHinCd=EA729HD-32","EA729HD-32")</f>
        <v>EA729HD-32</v>
      </c>
    </row>
    <row r="466" spans="2:5" x14ac:dyDescent="0.15">
      <c r="B466" s="6" t="s">
        <v>1375</v>
      </c>
      <c r="C466" s="6" t="s">
        <v>1376</v>
      </c>
      <c r="D466" s="6" t="s">
        <v>1377</v>
      </c>
      <c r="E466" s="5" t="str">
        <f>HYPERLINK("https://www.esco-net.com/wcs/escort/ec/detail?hHinCd=EA715CB-41","EA715CB-41")</f>
        <v>EA715CB-41</v>
      </c>
    </row>
    <row r="467" spans="2:5" x14ac:dyDescent="0.15">
      <c r="B467" s="6" t="s">
        <v>1375</v>
      </c>
      <c r="C467" s="6" t="s">
        <v>1378</v>
      </c>
      <c r="D467" s="6" t="s">
        <v>1379</v>
      </c>
      <c r="E467" s="5" t="str">
        <f>HYPERLINK("https://www.esco-net.com/wcs/escort/ec/detail?hHinCd=EA715CB-42","EA715CB-42")</f>
        <v>EA715CB-42</v>
      </c>
    </row>
    <row r="468" spans="2:5" x14ac:dyDescent="0.15">
      <c r="B468" s="6" t="s">
        <v>1380</v>
      </c>
      <c r="C468" s="6" t="s">
        <v>1381</v>
      </c>
      <c r="D468" s="6" t="s">
        <v>1382</v>
      </c>
      <c r="E468" s="5" t="str">
        <f>HYPERLINK("https://www.esco-net.com/wcs/escort/ec/detail?hHinCd=EA715SF-4","EA715SF-4")</f>
        <v>EA715SF-4</v>
      </c>
    </row>
    <row r="469" spans="2:5" x14ac:dyDescent="0.15">
      <c r="B469" s="6" t="s">
        <v>1380</v>
      </c>
      <c r="C469" s="6" t="s">
        <v>1383</v>
      </c>
      <c r="D469" s="6" t="s">
        <v>1384</v>
      </c>
      <c r="E469" s="5" t="str">
        <f>HYPERLINK("https://www.esco-net.com/wcs/escort/ec/detail?hHinCd=EA715SF-5","EA715SF-5")</f>
        <v>EA715SF-5</v>
      </c>
    </row>
    <row r="470" spans="2:5" x14ac:dyDescent="0.15">
      <c r="B470" s="6" t="s">
        <v>1385</v>
      </c>
      <c r="C470" s="6" t="s">
        <v>1386</v>
      </c>
      <c r="D470" s="6" t="s">
        <v>1387</v>
      </c>
      <c r="E470" s="5"/>
    </row>
    <row r="471" spans="2:5" x14ac:dyDescent="0.15">
      <c r="B471" s="6" t="s">
        <v>1385</v>
      </c>
      <c r="C471" s="6" t="s">
        <v>1388</v>
      </c>
      <c r="D471" s="6" t="s">
        <v>1389</v>
      </c>
      <c r="E471" s="5" t="str">
        <f>HYPERLINK("https://www.esco-net.com/wcs/escort/ec/detail?hHinCd=EA776AH-12A","EA776AH-12A")</f>
        <v>EA776AH-12A</v>
      </c>
    </row>
    <row r="472" spans="2:5" x14ac:dyDescent="0.15">
      <c r="B472" s="6" t="s">
        <v>85</v>
      </c>
      <c r="C472" s="6" t="s">
        <v>1390</v>
      </c>
      <c r="D472" s="6" t="s">
        <v>1391</v>
      </c>
      <c r="E472" s="5"/>
    </row>
    <row r="473" spans="2:5" x14ac:dyDescent="0.15">
      <c r="B473" s="6" t="s">
        <v>1392</v>
      </c>
      <c r="C473" s="6" t="s">
        <v>1393</v>
      </c>
      <c r="D473" s="6" t="s">
        <v>1394</v>
      </c>
      <c r="E473" s="5"/>
    </row>
    <row r="474" spans="2:5" x14ac:dyDescent="0.15">
      <c r="B474" s="6" t="s">
        <v>183</v>
      </c>
      <c r="C474" s="6" t="s">
        <v>1395</v>
      </c>
      <c r="D474" s="6" t="s">
        <v>1396</v>
      </c>
      <c r="E474" s="5"/>
    </row>
    <row r="475" spans="2:5" x14ac:dyDescent="0.15">
      <c r="B475" s="6" t="s">
        <v>183</v>
      </c>
      <c r="C475" s="6" t="s">
        <v>1397</v>
      </c>
      <c r="D475" s="6" t="s">
        <v>1398</v>
      </c>
      <c r="E475" s="5"/>
    </row>
    <row r="476" spans="2:5" x14ac:dyDescent="0.15">
      <c r="B476" s="6" t="s">
        <v>1399</v>
      </c>
      <c r="C476" s="6" t="s">
        <v>1400</v>
      </c>
      <c r="D476" s="6" t="s">
        <v>1401</v>
      </c>
      <c r="E476" s="5"/>
    </row>
    <row r="477" spans="2:5" x14ac:dyDescent="0.15">
      <c r="B477" s="6" t="s">
        <v>1402</v>
      </c>
      <c r="C477" s="6" t="s">
        <v>1403</v>
      </c>
      <c r="D477" s="6" t="s">
        <v>1404</v>
      </c>
      <c r="E477" s="5" t="str">
        <f>HYPERLINK("https://www.esco-net.com/wcs/escort/ec/detail?hHinCd=EA728EB-57","EA728EB-57")</f>
        <v>EA728EB-57</v>
      </c>
    </row>
    <row r="478" spans="2:5" x14ac:dyDescent="0.15">
      <c r="B478" s="6" t="s">
        <v>1405</v>
      </c>
      <c r="C478" s="6" t="s">
        <v>1406</v>
      </c>
      <c r="D478" s="6" t="s">
        <v>1407</v>
      </c>
      <c r="E478" s="5"/>
    </row>
    <row r="479" spans="2:5" x14ac:dyDescent="0.15">
      <c r="B479" s="6" t="s">
        <v>1405</v>
      </c>
      <c r="C479" s="6" t="s">
        <v>1408</v>
      </c>
      <c r="D479" s="6" t="s">
        <v>1409</v>
      </c>
      <c r="E479" s="5"/>
    </row>
    <row r="480" spans="2:5" x14ac:dyDescent="0.15">
      <c r="B480" s="6" t="s">
        <v>1410</v>
      </c>
      <c r="C480" s="6" t="s">
        <v>1411</v>
      </c>
      <c r="D480" s="6" t="s">
        <v>1412</v>
      </c>
      <c r="E480" s="5" t="str">
        <f>HYPERLINK("https://www.esco-net.com/wcs/escort/ec/detail?hHinCd=EA701AP-11A","EA701AP-11A")</f>
        <v>EA701AP-11A</v>
      </c>
    </row>
    <row r="481" spans="2:5" x14ac:dyDescent="0.15">
      <c r="B481" s="6" t="s">
        <v>1413</v>
      </c>
      <c r="C481" s="6" t="s">
        <v>1414</v>
      </c>
      <c r="D481" s="6" t="s">
        <v>1415</v>
      </c>
      <c r="E481" s="5"/>
    </row>
    <row r="482" spans="2:5" x14ac:dyDescent="0.15">
      <c r="B482" s="6" t="s">
        <v>1416</v>
      </c>
      <c r="C482" s="6" t="s">
        <v>1417</v>
      </c>
      <c r="D482" s="6" t="s">
        <v>1418</v>
      </c>
      <c r="E482" s="5" t="str">
        <f>HYPERLINK("https://www.esco-net.com/wcs/escort/ec/detail?hHinCd=EA809XA-1A","EA809XA-1A")</f>
        <v>EA809XA-1A</v>
      </c>
    </row>
    <row r="483" spans="2:5" x14ac:dyDescent="0.15">
      <c r="B483" s="6" t="s">
        <v>185</v>
      </c>
      <c r="C483" s="6" t="s">
        <v>1419</v>
      </c>
      <c r="D483" s="6" t="s">
        <v>1420</v>
      </c>
      <c r="E483" s="5"/>
    </row>
    <row r="484" spans="2:5" x14ac:dyDescent="0.15">
      <c r="B484" s="6" t="s">
        <v>1421</v>
      </c>
      <c r="C484" s="6" t="s">
        <v>1422</v>
      </c>
      <c r="D484" s="6" t="s">
        <v>1423</v>
      </c>
      <c r="E484" s="5" t="str">
        <f>HYPERLINK("https://www.esco-net.com/wcs/escort/ec/detail?hHinCd=EA809BE-40A","EA809BE-40A")</f>
        <v>EA809BE-40A</v>
      </c>
    </row>
    <row r="485" spans="2:5" x14ac:dyDescent="0.15">
      <c r="B485" s="6" t="s">
        <v>1424</v>
      </c>
      <c r="C485" s="6" t="s">
        <v>1425</v>
      </c>
      <c r="D485" s="6" t="s">
        <v>1426</v>
      </c>
      <c r="E485" s="5"/>
    </row>
    <row r="486" spans="2:5" x14ac:dyDescent="0.15">
      <c r="B486" s="6" t="s">
        <v>1427</v>
      </c>
      <c r="C486" s="6" t="s">
        <v>1428</v>
      </c>
      <c r="D486" s="6" t="s">
        <v>1429</v>
      </c>
      <c r="E486" s="5"/>
    </row>
    <row r="487" spans="2:5" x14ac:dyDescent="0.15">
      <c r="B487" s="6" t="s">
        <v>186</v>
      </c>
      <c r="C487" s="6" t="s">
        <v>1430</v>
      </c>
      <c r="D487" s="6" t="s">
        <v>1431</v>
      </c>
      <c r="E487" s="5" t="str">
        <f>HYPERLINK("https://www.esco-net.com/wcs/escort/ec/detail?hHinCd=EA813DD-5A","EA813DD-5A")</f>
        <v>EA813DD-5A</v>
      </c>
    </row>
    <row r="488" spans="2:5" x14ac:dyDescent="0.15">
      <c r="B488" s="6" t="s">
        <v>1432</v>
      </c>
      <c r="C488" s="6" t="s">
        <v>1433</v>
      </c>
      <c r="D488" s="6" t="s">
        <v>1434</v>
      </c>
      <c r="E488" s="5" t="str">
        <f>HYPERLINK("https://www.esco-net.com/wcs/escort/ec/detail?hHinCd=EA809BX-6B","EA809BX-6B")</f>
        <v>EA809BX-6B</v>
      </c>
    </row>
    <row r="489" spans="2:5" x14ac:dyDescent="0.15">
      <c r="B489" s="6" t="s">
        <v>1435</v>
      </c>
      <c r="C489" s="6" t="s">
        <v>1436</v>
      </c>
      <c r="D489" s="6" t="s">
        <v>1437</v>
      </c>
      <c r="E489" s="5" t="str">
        <f>HYPERLINK("https://www.esco-net.com/wcs/escort/ec/detail?hHinCd=EA801BC-2A","EA801BC-2A")</f>
        <v>EA801BC-2A</v>
      </c>
    </row>
    <row r="490" spans="2:5" x14ac:dyDescent="0.15">
      <c r="B490" s="6" t="s">
        <v>86</v>
      </c>
      <c r="C490" s="6" t="s">
        <v>1438</v>
      </c>
      <c r="D490" s="6" t="s">
        <v>1439</v>
      </c>
      <c r="E490" s="5" t="str">
        <f>HYPERLINK("https://www.esco-net.com/wcs/escort/ec/detail?hHinCd=EA818ER-1A","EA818ER-1A")</f>
        <v>EA818ER-1A</v>
      </c>
    </row>
    <row r="491" spans="2:5" x14ac:dyDescent="0.15">
      <c r="B491" s="6" t="s">
        <v>1440</v>
      </c>
      <c r="C491" s="6" t="s">
        <v>1441</v>
      </c>
      <c r="D491" s="6" t="s">
        <v>1442</v>
      </c>
      <c r="E491" s="5" t="str">
        <f>HYPERLINK("https://www.esco-net.com/wcs/escort/ec/detail?hHinCd=EA851K-6","EA851K-6")</f>
        <v>EA851K-6</v>
      </c>
    </row>
    <row r="492" spans="2:5" x14ac:dyDescent="0.15">
      <c r="B492" s="6" t="s">
        <v>1440</v>
      </c>
      <c r="C492" s="6" t="s">
        <v>1443</v>
      </c>
      <c r="D492" s="6" t="s">
        <v>1444</v>
      </c>
      <c r="E492" s="5" t="str">
        <f>HYPERLINK("https://www.esco-net.com/wcs/escort/ec/detail?hHinCd=EA851AH-1B","EA851AH-1B")</f>
        <v>EA851AH-1B</v>
      </c>
    </row>
    <row r="493" spans="2:5" x14ac:dyDescent="0.15">
      <c r="B493" s="6" t="s">
        <v>1445</v>
      </c>
      <c r="C493" s="6" t="s">
        <v>1446</v>
      </c>
      <c r="D493" s="6" t="s">
        <v>1447</v>
      </c>
      <c r="E493" s="5"/>
    </row>
    <row r="494" spans="2:5" x14ac:dyDescent="0.15">
      <c r="B494" s="6" t="s">
        <v>1448</v>
      </c>
      <c r="C494" s="6" t="s">
        <v>1449</v>
      </c>
      <c r="D494" s="6" t="s">
        <v>1450</v>
      </c>
      <c r="E494" s="5" t="str">
        <f>HYPERLINK("https://www.esco-net.com/wcs/escort/ec/detail?hHinCd=EA813RV-2B","EA813RV-2B")</f>
        <v>EA813RV-2B</v>
      </c>
    </row>
    <row r="495" spans="2:5" x14ac:dyDescent="0.15">
      <c r="B495" s="6" t="s">
        <v>1451</v>
      </c>
      <c r="C495" s="6" t="s">
        <v>1452</v>
      </c>
      <c r="D495" s="6" t="s">
        <v>184</v>
      </c>
      <c r="E495" s="5" t="str">
        <f>HYPERLINK("https://www.esco-net.com/wcs/escort/ec/detail?hHinCd=EA813RV-2B","EA813RV-2B")</f>
        <v>EA813RV-2B</v>
      </c>
    </row>
    <row r="496" spans="2:5" x14ac:dyDescent="0.15">
      <c r="B496" s="6" t="s">
        <v>1453</v>
      </c>
      <c r="C496" s="6" t="s">
        <v>1454</v>
      </c>
      <c r="D496" s="6" t="s">
        <v>1455</v>
      </c>
      <c r="E496" s="5" t="str">
        <f>HYPERLINK("https://www.esco-net.com/wcs/escort/ec/detail?hHinCd=EA813WA-41","EA813WA-41")</f>
        <v>EA813WA-41</v>
      </c>
    </row>
    <row r="497" spans="2:5" x14ac:dyDescent="0.15">
      <c r="B497" s="6" t="s">
        <v>1456</v>
      </c>
      <c r="C497" s="6" t="s">
        <v>1457</v>
      </c>
      <c r="D497" s="6" t="s">
        <v>1458</v>
      </c>
      <c r="E497" s="5"/>
    </row>
    <row r="498" spans="2:5" x14ac:dyDescent="0.15">
      <c r="B498" s="6" t="s">
        <v>1456</v>
      </c>
      <c r="C498" s="6" t="s">
        <v>1459</v>
      </c>
      <c r="D498" s="6" t="s">
        <v>1460</v>
      </c>
      <c r="E498" s="5"/>
    </row>
    <row r="499" spans="2:5" x14ac:dyDescent="0.15">
      <c r="B499" s="6" t="s">
        <v>187</v>
      </c>
      <c r="C499" s="6" t="s">
        <v>1461</v>
      </c>
      <c r="D499" s="6" t="s">
        <v>1462</v>
      </c>
      <c r="E499" s="5"/>
    </row>
    <row r="500" spans="2:5" x14ac:dyDescent="0.15">
      <c r="B500" s="6" t="s">
        <v>1463</v>
      </c>
      <c r="C500" s="6" t="s">
        <v>1464</v>
      </c>
      <c r="D500" s="6" t="s">
        <v>1465</v>
      </c>
      <c r="E500" s="5" t="str">
        <f>HYPERLINK("https://www.esco-net.com/wcs/escort/ec/detail?hHinCd=EA860L","EA860L")</f>
        <v>EA860L</v>
      </c>
    </row>
    <row r="501" spans="2:5" x14ac:dyDescent="0.15">
      <c r="B501" s="6" t="s">
        <v>1466</v>
      </c>
      <c r="C501" s="6" t="s">
        <v>1467</v>
      </c>
      <c r="D501" s="6" t="s">
        <v>1468</v>
      </c>
      <c r="E501" s="5"/>
    </row>
    <row r="502" spans="2:5" x14ac:dyDescent="0.15">
      <c r="B502" s="6" t="s">
        <v>188</v>
      </c>
      <c r="C502" s="6" t="s">
        <v>1469</v>
      </c>
      <c r="D502" s="6" t="s">
        <v>1470</v>
      </c>
      <c r="E502" s="5"/>
    </row>
    <row r="503" spans="2:5" x14ac:dyDescent="0.15">
      <c r="B503" s="6" t="s">
        <v>188</v>
      </c>
      <c r="C503" s="6" t="s">
        <v>1471</v>
      </c>
      <c r="D503" s="6" t="s">
        <v>1472</v>
      </c>
      <c r="E503" s="5" t="str">
        <f>HYPERLINK("https://www.esco-net.com/wcs/escort/ec/detail?hHinCd=EA815SS-8C","EA815SS-8C")</f>
        <v>EA815SS-8C</v>
      </c>
    </row>
    <row r="504" spans="2:5" x14ac:dyDescent="0.15">
      <c r="B504" s="6" t="s">
        <v>189</v>
      </c>
      <c r="C504" s="6" t="s">
        <v>1473</v>
      </c>
      <c r="D504" s="6" t="s">
        <v>1474</v>
      </c>
      <c r="E504" s="5" t="str">
        <f>HYPERLINK("https://www.esco-net.com/wcs/escort/ec/detail?hHinCd=EA815BF-30A","EA815BF-30A")</f>
        <v>EA815BF-30A</v>
      </c>
    </row>
    <row r="505" spans="2:5" x14ac:dyDescent="0.15">
      <c r="B505" s="6" t="s">
        <v>190</v>
      </c>
      <c r="C505" s="6" t="s">
        <v>1475</v>
      </c>
      <c r="D505" s="6" t="s">
        <v>1476</v>
      </c>
      <c r="E505" s="5" t="str">
        <f>HYPERLINK("https://www.esco-net.com/wcs/escort/ec/detail?hHinCd=EA815D-30A","EA815D-30A")</f>
        <v>EA815D-30A</v>
      </c>
    </row>
    <row r="506" spans="2:5" x14ac:dyDescent="0.15">
      <c r="B506" s="6" t="s">
        <v>35</v>
      </c>
      <c r="C506" s="6" t="s">
        <v>1477</v>
      </c>
      <c r="D506" s="6" t="s">
        <v>1478</v>
      </c>
      <c r="E506" s="5" t="str">
        <f>HYPERLINK("https://www.esco-net.com/wcs/escort/ec/detail?hHinCd=EA940MH-13A","EA940MH-13A")</f>
        <v>EA940MH-13A</v>
      </c>
    </row>
    <row r="507" spans="2:5" x14ac:dyDescent="0.15">
      <c r="B507" s="6" t="s">
        <v>1479</v>
      </c>
      <c r="C507" s="6" t="s">
        <v>1480</v>
      </c>
      <c r="D507" s="6" t="s">
        <v>1481</v>
      </c>
      <c r="E507" s="5" t="str">
        <f>HYPERLINK("https://www.esco-net.com/wcs/escort/ec/detail?hHinCd=EA815GA-70","EA815GA-70")</f>
        <v>EA815GA-70</v>
      </c>
    </row>
    <row r="508" spans="2:5" x14ac:dyDescent="0.15">
      <c r="B508" s="6" t="s">
        <v>1482</v>
      </c>
      <c r="C508" s="6" t="s">
        <v>1483</v>
      </c>
      <c r="D508" s="6" t="s">
        <v>1484</v>
      </c>
      <c r="E508" s="5" t="str">
        <f>HYPERLINK("https://www.esco-net.com/wcs/escort/ec/detail?hHinCd=EA815GM-222A","EA815GM-222A")</f>
        <v>EA815GM-222A</v>
      </c>
    </row>
    <row r="509" spans="2:5" x14ac:dyDescent="0.15">
      <c r="B509" s="6" t="s">
        <v>1482</v>
      </c>
      <c r="C509" s="6" t="s">
        <v>1485</v>
      </c>
      <c r="D509" s="6" t="s">
        <v>1486</v>
      </c>
      <c r="E509" s="5" t="str">
        <f>HYPERLINK("https://www.esco-net.com/wcs/escort/ec/detail?hHinCd=EA815GM-226A","EA815GM-226A")</f>
        <v>EA815GM-226A</v>
      </c>
    </row>
    <row r="510" spans="2:5" x14ac:dyDescent="0.15">
      <c r="B510" s="6" t="s">
        <v>1487</v>
      </c>
      <c r="C510" s="6" t="s">
        <v>1488</v>
      </c>
      <c r="D510" s="6" t="s">
        <v>1489</v>
      </c>
      <c r="E510" s="5"/>
    </row>
    <row r="511" spans="2:5" x14ac:dyDescent="0.15">
      <c r="B511" s="6" t="s">
        <v>1490</v>
      </c>
      <c r="C511" s="6" t="s">
        <v>1491</v>
      </c>
      <c r="D511" s="6" t="s">
        <v>1492</v>
      </c>
      <c r="E511" s="5" t="str">
        <f>HYPERLINK("https://www.esco-net.com/wcs/escort/ec/detail?hHinCd=EA815GM-207A","EA815GM-207A")</f>
        <v>EA815GM-207A</v>
      </c>
    </row>
    <row r="512" spans="2:5" x14ac:dyDescent="0.15">
      <c r="B512" s="6" t="s">
        <v>1490</v>
      </c>
      <c r="C512" s="6" t="s">
        <v>1493</v>
      </c>
      <c r="D512" s="6" t="s">
        <v>1494</v>
      </c>
      <c r="E512" s="5" t="str">
        <f>HYPERLINK("https://www.esco-net.com/wcs/escort/ec/detail?hHinCd=EA815GM-339","EA815GM-339")</f>
        <v>EA815GM-339</v>
      </c>
    </row>
    <row r="513" spans="2:5" x14ac:dyDescent="0.15">
      <c r="B513" s="6" t="s">
        <v>1495</v>
      </c>
      <c r="C513" s="6" t="s">
        <v>1496</v>
      </c>
      <c r="D513" s="6" t="s">
        <v>1497</v>
      </c>
      <c r="E513" s="5" t="str">
        <f>HYPERLINK("https://www.esco-net.com/wcs/escort/ec/detail?hHinCd=EA781BX-20","EA781BX-20")</f>
        <v>EA781BX-20</v>
      </c>
    </row>
    <row r="514" spans="2:5" x14ac:dyDescent="0.15">
      <c r="B514" s="6" t="s">
        <v>1498</v>
      </c>
      <c r="C514" s="6" t="s">
        <v>1499</v>
      </c>
      <c r="D514" s="6" t="s">
        <v>1500</v>
      </c>
      <c r="E514" s="5"/>
    </row>
    <row r="515" spans="2:5" x14ac:dyDescent="0.15">
      <c r="B515" s="6" t="s">
        <v>87</v>
      </c>
      <c r="C515" s="6" t="s">
        <v>1501</v>
      </c>
      <c r="D515" s="6" t="s">
        <v>1502</v>
      </c>
      <c r="E515" s="5" t="str">
        <f>HYPERLINK("https://www.esco-net.com/wcs/escort/ec/detail?hHinCd=EA824BL-60","EA824BL-60")</f>
        <v>EA824BL-60</v>
      </c>
    </row>
    <row r="516" spans="2:5" x14ac:dyDescent="0.15">
      <c r="B516" s="6" t="s">
        <v>87</v>
      </c>
      <c r="C516" s="6" t="s">
        <v>1503</v>
      </c>
      <c r="D516" s="6" t="s">
        <v>1504</v>
      </c>
      <c r="E516" s="5" t="str">
        <f>HYPERLINK("https://www.esco-net.com/wcs/escort/ec/detail?hHinCd=EA824DL-31","EA824DL-31")</f>
        <v>EA824DL-31</v>
      </c>
    </row>
    <row r="517" spans="2:5" x14ac:dyDescent="0.15">
      <c r="B517" s="6" t="s">
        <v>1505</v>
      </c>
      <c r="C517" s="6" t="s">
        <v>1506</v>
      </c>
      <c r="D517" s="6" t="s">
        <v>1507</v>
      </c>
      <c r="E517" s="5" t="str">
        <f>HYPERLINK("https://www.esco-net.com/wcs/escort/ec/detail?hHinCd=EA824BR-4","EA824BR-4")</f>
        <v>EA824BR-4</v>
      </c>
    </row>
    <row r="518" spans="2:5" x14ac:dyDescent="0.15">
      <c r="B518" s="6" t="s">
        <v>1505</v>
      </c>
      <c r="C518" s="6" t="s">
        <v>1508</v>
      </c>
      <c r="D518" s="6" t="s">
        <v>1509</v>
      </c>
      <c r="E518" s="5"/>
    </row>
    <row r="519" spans="2:5" x14ac:dyDescent="0.15">
      <c r="B519" s="6" t="s">
        <v>191</v>
      </c>
      <c r="C519" s="6" t="s">
        <v>1510</v>
      </c>
      <c r="D519" s="6" t="s">
        <v>1511</v>
      </c>
      <c r="E519" s="5"/>
    </row>
    <row r="520" spans="2:5" x14ac:dyDescent="0.15">
      <c r="B520" s="6" t="s">
        <v>1512</v>
      </c>
      <c r="C520" s="6" t="s">
        <v>1513</v>
      </c>
      <c r="D520" s="6" t="s">
        <v>1514</v>
      </c>
      <c r="E520" s="5"/>
    </row>
    <row r="521" spans="2:5" x14ac:dyDescent="0.15">
      <c r="B521" s="6" t="s">
        <v>1512</v>
      </c>
      <c r="C521" s="6" t="s">
        <v>1515</v>
      </c>
      <c r="D521" s="6" t="s">
        <v>1516</v>
      </c>
      <c r="E521" s="5" t="str">
        <f>HYPERLINK("https://www.esco-net.com/wcs/escort/ec/detail?hHinCd=EA827FC-1","EA827FC-1")</f>
        <v>EA827FC-1</v>
      </c>
    </row>
    <row r="522" spans="2:5" x14ac:dyDescent="0.15">
      <c r="B522" s="6" t="s">
        <v>1512</v>
      </c>
      <c r="C522" s="6" t="s">
        <v>1517</v>
      </c>
      <c r="D522" s="6" t="s">
        <v>1518</v>
      </c>
      <c r="E522" s="5" t="str">
        <f>HYPERLINK("https://www.esco-net.com/wcs/escort/ec/detail?hHinCd=EA827FC-16","EA827FC-16")</f>
        <v>EA827FC-16</v>
      </c>
    </row>
    <row r="523" spans="2:5" x14ac:dyDescent="0.15">
      <c r="B523" s="6" t="s">
        <v>192</v>
      </c>
      <c r="C523" s="6" t="s">
        <v>1519</v>
      </c>
      <c r="D523" s="6" t="s">
        <v>1520</v>
      </c>
      <c r="E523" s="5"/>
    </row>
    <row r="524" spans="2:5" x14ac:dyDescent="0.15">
      <c r="B524" s="6" t="s">
        <v>192</v>
      </c>
      <c r="C524" s="6" t="s">
        <v>1521</v>
      </c>
      <c r="D524" s="6" t="s">
        <v>1522</v>
      </c>
      <c r="E524" s="5"/>
    </row>
    <row r="525" spans="2:5" x14ac:dyDescent="0.15">
      <c r="B525" s="6" t="s">
        <v>192</v>
      </c>
      <c r="C525" s="6" t="s">
        <v>1523</v>
      </c>
      <c r="D525" s="6" t="s">
        <v>1524</v>
      </c>
      <c r="E525" s="5"/>
    </row>
    <row r="526" spans="2:5" x14ac:dyDescent="0.15">
      <c r="B526" s="6" t="s">
        <v>192</v>
      </c>
      <c r="C526" s="6" t="s">
        <v>1525</v>
      </c>
      <c r="D526" s="6" t="s">
        <v>1526</v>
      </c>
      <c r="E526" s="5"/>
    </row>
    <row r="527" spans="2:5" x14ac:dyDescent="0.15">
      <c r="B527" s="6" t="s">
        <v>193</v>
      </c>
      <c r="C527" s="6" t="s">
        <v>1527</v>
      </c>
      <c r="D527" s="6" t="s">
        <v>1528</v>
      </c>
      <c r="E527" s="5" t="str">
        <f>HYPERLINK("https://www.esco-net.com/wcs/escort/ec/detail?hHinCd=EA829HA-30H","EA829HA-30H")</f>
        <v>EA829HA-30H</v>
      </c>
    </row>
    <row r="528" spans="2:5" x14ac:dyDescent="0.15">
      <c r="B528" s="6" t="s">
        <v>1529</v>
      </c>
      <c r="C528" s="6" t="s">
        <v>1530</v>
      </c>
      <c r="D528" s="6" t="s">
        <v>1531</v>
      </c>
      <c r="E528" s="5"/>
    </row>
    <row r="529" spans="2:5" x14ac:dyDescent="0.15">
      <c r="B529" s="6" t="s">
        <v>88</v>
      </c>
      <c r="C529" s="6" t="s">
        <v>1532</v>
      </c>
      <c r="D529" s="6" t="s">
        <v>1533</v>
      </c>
      <c r="E529" s="5" t="str">
        <f>HYPERLINK("https://www.esco-net.com/wcs/escort/ec/detail?hHinCd=EA818E-167","EA818E-167")</f>
        <v>EA818E-167</v>
      </c>
    </row>
    <row r="530" spans="2:5" x14ac:dyDescent="0.15">
      <c r="B530" s="6" t="s">
        <v>88</v>
      </c>
      <c r="C530" s="6" t="s">
        <v>1534</v>
      </c>
      <c r="D530" s="6" t="s">
        <v>1535</v>
      </c>
      <c r="E530" s="5"/>
    </row>
    <row r="531" spans="2:5" x14ac:dyDescent="0.15">
      <c r="B531" s="6" t="s">
        <v>1536</v>
      </c>
      <c r="C531" s="6" t="s">
        <v>1537</v>
      </c>
      <c r="D531" s="6" t="s">
        <v>1538</v>
      </c>
      <c r="E531" s="5"/>
    </row>
    <row r="532" spans="2:5" x14ac:dyDescent="0.15">
      <c r="B532" s="6" t="s">
        <v>1536</v>
      </c>
      <c r="C532" s="6" t="s">
        <v>1539</v>
      </c>
      <c r="D532" s="6" t="s">
        <v>1540</v>
      </c>
      <c r="E532" s="5" t="str">
        <f>HYPERLINK("https://www.esco-net.com/wcs/escort/ec/detail?hHinCd=EA819DL-22","EA819DL-22")</f>
        <v>EA819DL-22</v>
      </c>
    </row>
    <row r="533" spans="2:5" x14ac:dyDescent="0.15">
      <c r="B533" s="6" t="s">
        <v>1541</v>
      </c>
      <c r="C533" s="6" t="s">
        <v>1542</v>
      </c>
      <c r="D533" s="6" t="s">
        <v>1543</v>
      </c>
      <c r="E533" s="5" t="str">
        <f>HYPERLINK("https://www.esco-net.com/wcs/escort/ec/detail?hHinCd=EA823L-212","EA823L-212")</f>
        <v>EA823L-212</v>
      </c>
    </row>
    <row r="534" spans="2:5" x14ac:dyDescent="0.15">
      <c r="B534" s="6" t="s">
        <v>89</v>
      </c>
      <c r="C534" s="6" t="s">
        <v>1544</v>
      </c>
      <c r="D534" s="6" t="s">
        <v>1545</v>
      </c>
      <c r="E534" s="5" t="str">
        <f>HYPERLINK("https://www.esco-net.com/wcs/escort/ec/detail?hHinCd=EA810ME-18","EA810ME-18")</f>
        <v>EA810ME-18</v>
      </c>
    </row>
    <row r="535" spans="2:5" x14ac:dyDescent="0.15">
      <c r="B535" s="6" t="s">
        <v>89</v>
      </c>
      <c r="C535" s="6" t="s">
        <v>1546</v>
      </c>
      <c r="D535" s="6" t="s">
        <v>1547</v>
      </c>
      <c r="E535" s="5" t="str">
        <f>HYPERLINK("https://www.esco-net.com/wcs/escort/ec/detail?hHinCd=EA810MD-25","EA810MD-25")</f>
        <v>EA810MD-25</v>
      </c>
    </row>
    <row r="536" spans="2:5" x14ac:dyDescent="0.15">
      <c r="B536" s="6" t="s">
        <v>1548</v>
      </c>
      <c r="C536" s="6" t="s">
        <v>1549</v>
      </c>
      <c r="D536" s="6" t="s">
        <v>1550</v>
      </c>
      <c r="E536" s="5" t="str">
        <f>HYPERLINK("https://www.esco-net.com/wcs/escort/ec/detail?hHinCd=EA810TC-3","EA810TC-3")</f>
        <v>EA810TC-3</v>
      </c>
    </row>
    <row r="537" spans="2:5" x14ac:dyDescent="0.15">
      <c r="B537" s="6" t="s">
        <v>90</v>
      </c>
      <c r="C537" s="6" t="s">
        <v>1551</v>
      </c>
      <c r="D537" s="6" t="s">
        <v>1552</v>
      </c>
      <c r="E537" s="5"/>
    </row>
    <row r="538" spans="2:5" x14ac:dyDescent="0.15">
      <c r="B538" s="6" t="s">
        <v>90</v>
      </c>
      <c r="C538" s="6" t="s">
        <v>1553</v>
      </c>
      <c r="D538" s="6" t="s">
        <v>1554</v>
      </c>
      <c r="E538" s="5"/>
    </row>
    <row r="539" spans="2:5" x14ac:dyDescent="0.15">
      <c r="B539" s="6" t="s">
        <v>90</v>
      </c>
      <c r="C539" s="6" t="s">
        <v>1555</v>
      </c>
      <c r="D539" s="6" t="s">
        <v>1556</v>
      </c>
      <c r="E539" s="5"/>
    </row>
    <row r="540" spans="2:5" x14ac:dyDescent="0.15">
      <c r="B540" s="6" t="s">
        <v>1557</v>
      </c>
      <c r="C540" s="6" t="s">
        <v>1558</v>
      </c>
      <c r="D540" s="6" t="s">
        <v>1559</v>
      </c>
      <c r="E540" s="5"/>
    </row>
    <row r="541" spans="2:5" x14ac:dyDescent="0.15">
      <c r="B541" s="6" t="s">
        <v>1557</v>
      </c>
      <c r="C541" s="6" t="s">
        <v>1560</v>
      </c>
      <c r="D541" s="6" t="s">
        <v>1561</v>
      </c>
      <c r="E541" s="5"/>
    </row>
    <row r="542" spans="2:5" x14ac:dyDescent="0.15">
      <c r="B542" s="6" t="s">
        <v>194</v>
      </c>
      <c r="C542" s="6" t="s">
        <v>1562</v>
      </c>
      <c r="D542" s="6" t="s">
        <v>1563</v>
      </c>
      <c r="E542" s="5"/>
    </row>
    <row r="543" spans="2:5" x14ac:dyDescent="0.15">
      <c r="B543" s="6" t="s">
        <v>1564</v>
      </c>
      <c r="C543" s="6" t="s">
        <v>1565</v>
      </c>
      <c r="D543" s="6" t="s">
        <v>1566</v>
      </c>
      <c r="E543" s="5" t="str">
        <f>HYPERLINK("https://www.esco-net.com/wcs/escort/ec/detail?hHinCd=EA857AB-51","EA857AB-51")</f>
        <v>EA857AB-51</v>
      </c>
    </row>
    <row r="544" spans="2:5" x14ac:dyDescent="0.15">
      <c r="B544" s="6" t="s">
        <v>1564</v>
      </c>
      <c r="C544" s="6" t="s">
        <v>1567</v>
      </c>
      <c r="D544" s="6" t="s">
        <v>1568</v>
      </c>
      <c r="E544" s="5" t="str">
        <f>HYPERLINK("https://www.esco-net.com/wcs/escort/ec/detail?hHinCd=EA857AB-52","EA857AB-52")</f>
        <v>EA857AB-52</v>
      </c>
    </row>
    <row r="545" spans="2:5" x14ac:dyDescent="0.15">
      <c r="B545" s="6" t="s">
        <v>1564</v>
      </c>
      <c r="C545" s="6" t="s">
        <v>1569</v>
      </c>
      <c r="D545" s="6" t="s">
        <v>1570</v>
      </c>
      <c r="E545" s="5" t="str">
        <f>HYPERLINK("https://www.esco-net.com/wcs/escort/ec/detail?hHinCd=EA857L-18A","EA857L-18A")</f>
        <v>EA857L-18A</v>
      </c>
    </row>
    <row r="546" spans="2:5" x14ac:dyDescent="0.15">
      <c r="B546" s="6" t="s">
        <v>1571</v>
      </c>
      <c r="C546" s="6" t="s">
        <v>1572</v>
      </c>
      <c r="D546" s="6" t="s">
        <v>1573</v>
      </c>
      <c r="E546" s="5"/>
    </row>
    <row r="547" spans="2:5" x14ac:dyDescent="0.15">
      <c r="B547" s="6" t="s">
        <v>1574</v>
      </c>
      <c r="C547" s="6" t="s">
        <v>1575</v>
      </c>
      <c r="D547" s="6" t="s">
        <v>1576</v>
      </c>
      <c r="E547" s="5" t="str">
        <f>HYPERLINK("https://www.esco-net.com/wcs/escort/ec/detail?hHinCd=EA809CT-10A","EA809CT-10A")</f>
        <v>EA809CT-10A</v>
      </c>
    </row>
    <row r="548" spans="2:5" x14ac:dyDescent="0.15">
      <c r="B548" s="6" t="s">
        <v>195</v>
      </c>
      <c r="C548" s="6" t="s">
        <v>1577</v>
      </c>
      <c r="D548" s="6" t="s">
        <v>196</v>
      </c>
      <c r="E548" s="5" t="str">
        <f>HYPERLINK("https://www.esco-net.com/wcs/escort/ec/detail?hHinCd=EA809YP-31","EA809YP-31")</f>
        <v>EA809YP-31</v>
      </c>
    </row>
    <row r="549" spans="2:5" x14ac:dyDescent="0.15">
      <c r="B549" s="6" t="s">
        <v>1578</v>
      </c>
      <c r="C549" s="6" t="s">
        <v>1579</v>
      </c>
      <c r="D549" s="6" t="s">
        <v>1580</v>
      </c>
      <c r="E549" s="5" t="str">
        <f>HYPERLINK("https://www.esco-net.com/wcs/escort/ec/detail?hHinCd=EA809-104","EA809-104")</f>
        <v>EA809-104</v>
      </c>
    </row>
    <row r="550" spans="2:5" x14ac:dyDescent="0.15">
      <c r="B550" s="6" t="s">
        <v>1578</v>
      </c>
      <c r="C550" s="6" t="s">
        <v>1581</v>
      </c>
      <c r="D550" s="6" t="s">
        <v>1582</v>
      </c>
      <c r="E550" s="5" t="str">
        <f>HYPERLINK("https://www.esco-net.com/wcs/escort/ec/detail?hHinCd=EA809-104","EA809-104")</f>
        <v>EA809-104</v>
      </c>
    </row>
    <row r="551" spans="2:5" x14ac:dyDescent="0.15">
      <c r="B551" s="6" t="s">
        <v>197</v>
      </c>
      <c r="C551" s="6" t="s">
        <v>1583</v>
      </c>
      <c r="D551" s="6" t="s">
        <v>1584</v>
      </c>
      <c r="E551" s="5"/>
    </row>
    <row r="552" spans="2:5" x14ac:dyDescent="0.15">
      <c r="B552" s="6" t="s">
        <v>91</v>
      </c>
      <c r="C552" s="6" t="s">
        <v>1585</v>
      </c>
      <c r="D552" s="6" t="s">
        <v>1586</v>
      </c>
      <c r="E552" s="5" t="str">
        <f>HYPERLINK("https://www.esco-net.com/wcs/escort/ec/detail?hHinCd=EA801XA-2","EA801XA-2")</f>
        <v>EA801XA-2</v>
      </c>
    </row>
    <row r="553" spans="2:5" x14ac:dyDescent="0.15">
      <c r="B553" s="6" t="s">
        <v>1587</v>
      </c>
      <c r="C553" s="6" t="s">
        <v>1588</v>
      </c>
      <c r="D553" s="6" t="s">
        <v>1589</v>
      </c>
      <c r="E553" s="5"/>
    </row>
    <row r="554" spans="2:5" x14ac:dyDescent="0.15">
      <c r="B554" s="6" t="s">
        <v>1590</v>
      </c>
      <c r="C554" s="6" t="s">
        <v>1591</v>
      </c>
      <c r="D554" s="6" t="s">
        <v>1592</v>
      </c>
      <c r="E554" s="5" t="str">
        <f>HYPERLINK("https://www.esco-net.com/wcs/escort/ec/detail?hHinCd=EA819BL-132","EA819BL-132")</f>
        <v>EA819BL-132</v>
      </c>
    </row>
    <row r="555" spans="2:5" x14ac:dyDescent="0.15">
      <c r="B555" s="6" t="s">
        <v>1590</v>
      </c>
      <c r="C555" s="6" t="s">
        <v>1593</v>
      </c>
      <c r="D555" s="6" t="s">
        <v>1594</v>
      </c>
      <c r="E555" s="5" t="str">
        <f>HYPERLINK("https://www.esco-net.com/wcs/escort/ec/detail?hHinCd=EA819BL-143","EA819BL-143")</f>
        <v>EA819BL-143</v>
      </c>
    </row>
    <row r="556" spans="2:5" x14ac:dyDescent="0.15">
      <c r="B556" s="6" t="s">
        <v>1590</v>
      </c>
      <c r="C556" s="6" t="s">
        <v>1595</v>
      </c>
      <c r="D556" s="6" t="s">
        <v>1596</v>
      </c>
      <c r="E556" s="5" t="str">
        <f>HYPERLINK("https://www.esco-net.com/wcs/escort/ec/detail?hHinCd=EA819BL-323","EA819BL-323")</f>
        <v>EA819BL-323</v>
      </c>
    </row>
    <row r="557" spans="2:5" x14ac:dyDescent="0.15">
      <c r="B557" s="6" t="s">
        <v>1590</v>
      </c>
      <c r="C557" s="6" t="s">
        <v>1597</v>
      </c>
      <c r="D557" s="6" t="s">
        <v>1598</v>
      </c>
      <c r="E557" s="5" t="str">
        <f>HYPERLINK("https://www.esco-net.com/wcs/escort/ec/detail?hHinCd=EA819BL-312","EA819BL-312")</f>
        <v>EA819BL-312</v>
      </c>
    </row>
    <row r="558" spans="2:5" x14ac:dyDescent="0.15">
      <c r="B558" s="6" t="s">
        <v>1599</v>
      </c>
      <c r="C558" s="6" t="s">
        <v>1600</v>
      </c>
      <c r="D558" s="6" t="s">
        <v>1601</v>
      </c>
      <c r="E558" s="5"/>
    </row>
    <row r="559" spans="2:5" x14ac:dyDescent="0.15">
      <c r="B559" s="6" t="s">
        <v>198</v>
      </c>
      <c r="C559" s="6" t="s">
        <v>1602</v>
      </c>
      <c r="D559" s="6" t="s">
        <v>1603</v>
      </c>
      <c r="E559" s="5" t="str">
        <f>HYPERLINK("https://www.esco-net.com/wcs/escort/ec/detail?hHinCd=EA612AA-124","EA612AA-124")</f>
        <v>EA612AA-124</v>
      </c>
    </row>
    <row r="560" spans="2:5" x14ac:dyDescent="0.15">
      <c r="B560" s="6" t="s">
        <v>1604</v>
      </c>
      <c r="C560" s="6" t="s">
        <v>1605</v>
      </c>
      <c r="D560" s="6" t="s">
        <v>1606</v>
      </c>
      <c r="E560" s="5" t="str">
        <f>HYPERLINK("https://www.esco-net.com/wcs/escort/ec/detail?hHinCd=EA155DC-2","EA155DC-2")</f>
        <v>EA155DC-2</v>
      </c>
    </row>
    <row r="561" spans="2:5" x14ac:dyDescent="0.15">
      <c r="B561" s="6" t="s">
        <v>1604</v>
      </c>
      <c r="C561" s="6" t="s">
        <v>1607</v>
      </c>
      <c r="D561" s="6" t="s">
        <v>1608</v>
      </c>
      <c r="E561" s="5" t="str">
        <f>HYPERLINK("https://www.esco-net.com/wcs/escort/ec/detail?hHinCd=EA155KS-4","EA155KS-4")</f>
        <v>EA155KS-4</v>
      </c>
    </row>
    <row r="562" spans="2:5" x14ac:dyDescent="0.15">
      <c r="B562" s="6" t="s">
        <v>1609</v>
      </c>
      <c r="C562" s="6" t="s">
        <v>1610</v>
      </c>
      <c r="D562" s="6" t="s">
        <v>1611</v>
      </c>
      <c r="E562" s="5" t="str">
        <f>HYPERLINK("https://www.esco-net.com/wcs/escort/ec/detail?hHinCd=EA155EC-1","EA155EC-1")</f>
        <v>EA155EC-1</v>
      </c>
    </row>
    <row r="563" spans="2:5" x14ac:dyDescent="0.15">
      <c r="B563" s="6" t="s">
        <v>1612</v>
      </c>
      <c r="C563" s="6" t="s">
        <v>1613</v>
      </c>
      <c r="D563" s="6" t="s">
        <v>1614</v>
      </c>
      <c r="E563" s="5" t="str">
        <f>HYPERLINK("https://www.esco-net.com/wcs/escort/ec/detail?hHinCd=EA155HV","EA155HV")</f>
        <v>EA155HV</v>
      </c>
    </row>
    <row r="564" spans="2:5" x14ac:dyDescent="0.15">
      <c r="B564" s="6" t="s">
        <v>1612</v>
      </c>
      <c r="C564" s="6" t="s">
        <v>1615</v>
      </c>
      <c r="D564" s="6" t="s">
        <v>1616</v>
      </c>
      <c r="E564" s="5" t="str">
        <f>HYPERLINK("https://www.esco-net.com/wcs/escort/ec/detail?hHinCd=EA155JK","EA155JK")</f>
        <v>EA155JK</v>
      </c>
    </row>
    <row r="565" spans="2:5" x14ac:dyDescent="0.15">
      <c r="B565" s="6" t="s">
        <v>1617</v>
      </c>
      <c r="C565" s="6" t="s">
        <v>1618</v>
      </c>
      <c r="D565" s="6" t="s">
        <v>1619</v>
      </c>
      <c r="E565" s="5" t="str">
        <f>HYPERLINK("https://www.esco-net.com/wcs/escort/ec/detail?hHinCd=EA158SH-1A","EA158SH-1A")</f>
        <v>EA158SH-1A</v>
      </c>
    </row>
    <row r="566" spans="2:5" x14ac:dyDescent="0.15">
      <c r="B566" s="6" t="s">
        <v>1620</v>
      </c>
      <c r="C566" s="6" t="s">
        <v>1621</v>
      </c>
      <c r="D566" s="6" t="s">
        <v>1622</v>
      </c>
      <c r="E566" s="5" t="str">
        <f>HYPERLINK("https://www.esco-net.com/wcs/escort/ec/detail?hHinCd=EA162SB","EA162SB")</f>
        <v>EA162SB</v>
      </c>
    </row>
    <row r="567" spans="2:5" x14ac:dyDescent="0.15">
      <c r="B567" s="6" t="s">
        <v>1623</v>
      </c>
      <c r="C567" s="6" t="s">
        <v>1624</v>
      </c>
      <c r="D567" s="6" t="s">
        <v>1625</v>
      </c>
      <c r="E567" s="5" t="str">
        <f>HYPERLINK("https://www.esco-net.com/wcs/escort/ec/detail?hHinCd=EA127RB-100","EA127RB-100")</f>
        <v>EA127RB-100</v>
      </c>
    </row>
    <row r="568" spans="2:5" x14ac:dyDescent="0.15">
      <c r="B568" s="6" t="s">
        <v>92</v>
      </c>
      <c r="C568" s="6" t="s">
        <v>1626</v>
      </c>
      <c r="D568" s="6" t="s">
        <v>1627</v>
      </c>
      <c r="E568" s="5" t="str">
        <f>HYPERLINK("https://www.esco-net.com/wcs/escort/ec/detail?hHinCd=EA121DF-1","EA121DF-1")</f>
        <v>EA121DF-1</v>
      </c>
    </row>
    <row r="569" spans="2:5" x14ac:dyDescent="0.15">
      <c r="B569" s="6" t="s">
        <v>1628</v>
      </c>
      <c r="C569" s="6" t="s">
        <v>1629</v>
      </c>
      <c r="D569" s="6" t="s">
        <v>1630</v>
      </c>
      <c r="E569" s="5" t="str">
        <f>HYPERLINK("https://www.esco-net.com/wcs/escort/ec/detail?hHinCd=EA123AC-14","EA123AC-14")</f>
        <v>EA123AC-14</v>
      </c>
    </row>
    <row r="570" spans="2:5" x14ac:dyDescent="0.15">
      <c r="B570" s="6" t="s">
        <v>1631</v>
      </c>
      <c r="C570" s="6" t="s">
        <v>1632</v>
      </c>
      <c r="D570" s="6" t="s">
        <v>1633</v>
      </c>
      <c r="E570" s="5" t="str">
        <f>HYPERLINK("https://www.esco-net.com/wcs/escort/ec/detail?hHinCd=EA123KD-11A","EA123KD-11A")</f>
        <v>EA123KD-11A</v>
      </c>
    </row>
    <row r="571" spans="2:5" x14ac:dyDescent="0.15">
      <c r="B571" s="6" t="s">
        <v>1634</v>
      </c>
      <c r="C571" s="6" t="s">
        <v>1635</v>
      </c>
      <c r="D571" s="6" t="s">
        <v>1636</v>
      </c>
      <c r="E571" s="5" t="str">
        <f>HYPERLINK("https://www.esco-net.com/wcs/escort/ec/detail?hHinCd=EA987ZF-2","EA987ZF-2")</f>
        <v>EA987ZF-2</v>
      </c>
    </row>
    <row r="572" spans="2:5" x14ac:dyDescent="0.15">
      <c r="B572" s="6" t="s">
        <v>36</v>
      </c>
      <c r="C572" s="6" t="s">
        <v>1637</v>
      </c>
      <c r="D572" s="6" t="s">
        <v>1638</v>
      </c>
      <c r="E572" s="5" t="str">
        <f>HYPERLINK("https://www.esco-net.com/wcs/escort/ec/detail?hHinCd=EA124B-3","EA124B-3")</f>
        <v>EA124B-3</v>
      </c>
    </row>
    <row r="573" spans="2:5" x14ac:dyDescent="0.15">
      <c r="B573" s="6" t="s">
        <v>36</v>
      </c>
      <c r="C573" s="6" t="s">
        <v>1639</v>
      </c>
      <c r="D573" s="6" t="s">
        <v>1640</v>
      </c>
      <c r="E573" s="5"/>
    </row>
    <row r="574" spans="2:5" x14ac:dyDescent="0.15">
      <c r="B574" s="6" t="s">
        <v>37</v>
      </c>
      <c r="C574" s="6" t="s">
        <v>1641</v>
      </c>
      <c r="D574" s="6" t="s">
        <v>199</v>
      </c>
      <c r="E574" s="5"/>
    </row>
    <row r="575" spans="2:5" x14ac:dyDescent="0.15">
      <c r="B575" s="6" t="s">
        <v>1642</v>
      </c>
      <c r="C575" s="6" t="s">
        <v>1643</v>
      </c>
      <c r="D575" s="6" t="s">
        <v>1644</v>
      </c>
      <c r="E575" s="5"/>
    </row>
    <row r="576" spans="2:5" x14ac:dyDescent="0.15">
      <c r="B576" s="6" t="s">
        <v>1642</v>
      </c>
      <c r="C576" s="6" t="s">
        <v>1645</v>
      </c>
      <c r="D576" s="6" t="s">
        <v>1646</v>
      </c>
      <c r="E576" s="5"/>
    </row>
    <row r="577" spans="2:5" x14ac:dyDescent="0.15">
      <c r="B577" s="6" t="s">
        <v>1642</v>
      </c>
      <c r="C577" s="6" t="s">
        <v>1647</v>
      </c>
      <c r="D577" s="6" t="s">
        <v>1648</v>
      </c>
      <c r="E577" s="5"/>
    </row>
    <row r="578" spans="2:5" x14ac:dyDescent="0.15">
      <c r="B578" s="6" t="s">
        <v>1649</v>
      </c>
      <c r="C578" s="6" t="s">
        <v>1650</v>
      </c>
      <c r="D578" s="6" t="s">
        <v>1651</v>
      </c>
      <c r="E578" s="5"/>
    </row>
    <row r="579" spans="2:5" x14ac:dyDescent="0.15">
      <c r="B579" s="6" t="s">
        <v>1649</v>
      </c>
      <c r="C579" s="6" t="s">
        <v>1652</v>
      </c>
      <c r="D579" s="6" t="s">
        <v>1653</v>
      </c>
      <c r="E579" s="5"/>
    </row>
    <row r="580" spans="2:5" x14ac:dyDescent="0.15">
      <c r="B580" s="6" t="s">
        <v>1649</v>
      </c>
      <c r="C580" s="6" t="s">
        <v>1654</v>
      </c>
      <c r="D580" s="6" t="s">
        <v>1655</v>
      </c>
      <c r="E580" s="5"/>
    </row>
    <row r="581" spans="2:5" x14ac:dyDescent="0.15">
      <c r="B581" s="6" t="s">
        <v>1649</v>
      </c>
      <c r="C581" s="6" t="s">
        <v>1656</v>
      </c>
      <c r="D581" s="6" t="s">
        <v>1657</v>
      </c>
      <c r="E581" s="5"/>
    </row>
    <row r="582" spans="2:5" x14ac:dyDescent="0.15">
      <c r="B582" s="6" t="s">
        <v>1649</v>
      </c>
      <c r="C582" s="6" t="s">
        <v>1658</v>
      </c>
      <c r="D582" s="6" t="s">
        <v>1659</v>
      </c>
      <c r="E582" s="5"/>
    </row>
    <row r="583" spans="2:5" x14ac:dyDescent="0.15">
      <c r="B583" s="6" t="s">
        <v>1660</v>
      </c>
      <c r="C583" s="6" t="s">
        <v>1661</v>
      </c>
      <c r="D583" s="6" t="s">
        <v>1662</v>
      </c>
      <c r="E583" s="5" t="str">
        <f>HYPERLINK("https://www.esco-net.com/wcs/escort/ec/detail?hHinCd=EA125FH-8B","EA125FH-8B")</f>
        <v>EA125FH-8B</v>
      </c>
    </row>
    <row r="584" spans="2:5" x14ac:dyDescent="0.15">
      <c r="B584" s="6" t="s">
        <v>1663</v>
      </c>
      <c r="C584" s="6" t="s">
        <v>1664</v>
      </c>
      <c r="D584" s="6" t="s">
        <v>1665</v>
      </c>
      <c r="E584" s="5"/>
    </row>
    <row r="585" spans="2:5" x14ac:dyDescent="0.15">
      <c r="B585" s="6" t="s">
        <v>1666</v>
      </c>
      <c r="C585" s="6" t="s">
        <v>1667</v>
      </c>
      <c r="D585" s="6" t="s">
        <v>1668</v>
      </c>
      <c r="E585" s="5" t="str">
        <f>HYPERLINK("https://www.esco-net.com/wcs/escort/ec/detail?hHinCd=EA140DH-12","EA140DH-12")</f>
        <v>EA140DH-12</v>
      </c>
    </row>
    <row r="586" spans="2:5" x14ac:dyDescent="0.15">
      <c r="B586" s="6" t="s">
        <v>1666</v>
      </c>
      <c r="C586" s="6" t="s">
        <v>1669</v>
      </c>
      <c r="D586" s="6" t="s">
        <v>1670</v>
      </c>
      <c r="E586" s="5" t="str">
        <f>HYPERLINK("https://www.esco-net.com/wcs/escort/ec/detail?hHinCd=EA140DJ-12","EA140DJ-12")</f>
        <v>EA140DJ-12</v>
      </c>
    </row>
    <row r="587" spans="2:5" x14ac:dyDescent="0.15">
      <c r="B587" s="6" t="s">
        <v>200</v>
      </c>
      <c r="C587" s="6" t="s">
        <v>1671</v>
      </c>
      <c r="D587" s="6" t="s">
        <v>1672</v>
      </c>
      <c r="E587" s="5"/>
    </row>
    <row r="588" spans="2:5" x14ac:dyDescent="0.15">
      <c r="B588" s="6" t="s">
        <v>1673</v>
      </c>
      <c r="C588" s="6" t="s">
        <v>1674</v>
      </c>
      <c r="D588" s="6" t="s">
        <v>1675</v>
      </c>
      <c r="E588" s="5"/>
    </row>
    <row r="589" spans="2:5" x14ac:dyDescent="0.15">
      <c r="B589" s="6" t="s">
        <v>38</v>
      </c>
      <c r="C589" s="6" t="s">
        <v>1676</v>
      </c>
      <c r="D589" s="6" t="s">
        <v>1677</v>
      </c>
      <c r="E589" s="5"/>
    </row>
    <row r="590" spans="2:5" x14ac:dyDescent="0.15">
      <c r="B590" s="6" t="s">
        <v>1678</v>
      </c>
      <c r="C590" s="6" t="s">
        <v>1679</v>
      </c>
      <c r="D590" s="6" t="s">
        <v>1680</v>
      </c>
      <c r="E590" s="5"/>
    </row>
    <row r="591" spans="2:5" x14ac:dyDescent="0.15">
      <c r="B591" s="6" t="s">
        <v>201</v>
      </c>
      <c r="C591" s="6" t="s">
        <v>1681</v>
      </c>
      <c r="D591" s="6" t="s">
        <v>1682</v>
      </c>
      <c r="E591" s="5" t="str">
        <f>HYPERLINK("https://www.esco-net.com/wcs/escort/ec/detail?hHinCd=EA465AN-14","EA465AN-14")</f>
        <v>EA465AN-14</v>
      </c>
    </row>
    <row r="592" spans="2:5" x14ac:dyDescent="0.15">
      <c r="B592" s="6" t="s">
        <v>39</v>
      </c>
      <c r="C592" s="6" t="s">
        <v>1683</v>
      </c>
      <c r="D592" s="6" t="s">
        <v>1684</v>
      </c>
      <c r="E592" s="5"/>
    </row>
    <row r="593" spans="2:5" x14ac:dyDescent="0.15">
      <c r="B593" s="6" t="s">
        <v>39</v>
      </c>
      <c r="C593" s="6" t="s">
        <v>1685</v>
      </c>
      <c r="D593" s="6" t="s">
        <v>1686</v>
      </c>
      <c r="E593" s="5"/>
    </row>
    <row r="594" spans="2:5" x14ac:dyDescent="0.15">
      <c r="B594" s="6" t="s">
        <v>1687</v>
      </c>
      <c r="C594" s="6" t="s">
        <v>1688</v>
      </c>
      <c r="D594" s="6" t="s">
        <v>1689</v>
      </c>
      <c r="E594" s="5"/>
    </row>
    <row r="595" spans="2:5" x14ac:dyDescent="0.15">
      <c r="B595" s="6" t="s">
        <v>1690</v>
      </c>
      <c r="C595" s="6" t="s">
        <v>1691</v>
      </c>
      <c r="D595" s="6" t="s">
        <v>1692</v>
      </c>
      <c r="E595" s="5"/>
    </row>
    <row r="596" spans="2:5" x14ac:dyDescent="0.15">
      <c r="B596" s="6" t="s">
        <v>202</v>
      </c>
      <c r="C596" s="6" t="s">
        <v>1693</v>
      </c>
      <c r="D596" s="6" t="s">
        <v>1694</v>
      </c>
      <c r="E596" s="5" t="str">
        <f>HYPERLINK("https://www.esco-net.com/wcs/escort/ec/detail?hHinCd=EA468B-4","EA468B-4")</f>
        <v>EA468B-4</v>
      </c>
    </row>
    <row r="597" spans="2:5" x14ac:dyDescent="0.15">
      <c r="B597" s="6" t="s">
        <v>1695</v>
      </c>
      <c r="C597" s="6" t="s">
        <v>1696</v>
      </c>
      <c r="D597" s="6" t="s">
        <v>1697</v>
      </c>
      <c r="E597" s="5"/>
    </row>
    <row r="598" spans="2:5" x14ac:dyDescent="0.15">
      <c r="B598" s="6" t="s">
        <v>1698</v>
      </c>
      <c r="C598" s="6" t="s">
        <v>1699</v>
      </c>
      <c r="D598" s="6" t="s">
        <v>1700</v>
      </c>
      <c r="E598" s="5" t="str">
        <f>HYPERLINK("https://www.esco-net.com/wcs/escort/ec/detail?hHinCd=EA468CF-1A","EA468CF-1A")</f>
        <v>EA468CF-1A</v>
      </c>
    </row>
    <row r="599" spans="2:5" x14ac:dyDescent="0.15">
      <c r="B599" s="6" t="s">
        <v>203</v>
      </c>
      <c r="C599" s="6" t="s">
        <v>1701</v>
      </c>
      <c r="D599" s="6" t="s">
        <v>1702</v>
      </c>
      <c r="E599" s="5" t="str">
        <f>HYPERLINK("https://www.esco-net.com/wcs/escort/ec/detail?hHinCd=EA468EA-4B","EA468EA-4B")</f>
        <v>EA468EA-4B</v>
      </c>
    </row>
    <row r="600" spans="2:5" x14ac:dyDescent="0.15">
      <c r="B600" s="6" t="s">
        <v>1703</v>
      </c>
      <c r="C600" s="6" t="s">
        <v>1704</v>
      </c>
      <c r="D600" s="6" t="s">
        <v>1705</v>
      </c>
      <c r="E600" s="5" t="str">
        <f>HYPERLINK("https://www.esco-net.com/wcs/escort/ec/detail?hHinCd=EA468EF-38","EA468EF-38")</f>
        <v>EA468EF-38</v>
      </c>
    </row>
    <row r="601" spans="2:5" x14ac:dyDescent="0.15">
      <c r="B601" s="6" t="s">
        <v>1706</v>
      </c>
      <c r="C601" s="6" t="s">
        <v>1707</v>
      </c>
      <c r="D601" s="6" t="s">
        <v>1708</v>
      </c>
      <c r="E601" s="5"/>
    </row>
    <row r="602" spans="2:5" x14ac:dyDescent="0.15">
      <c r="B602" s="6" t="s">
        <v>1706</v>
      </c>
      <c r="C602" s="6" t="s">
        <v>1709</v>
      </c>
      <c r="D602" s="6" t="s">
        <v>1710</v>
      </c>
      <c r="E602" s="5"/>
    </row>
    <row r="603" spans="2:5" x14ac:dyDescent="0.15">
      <c r="B603" s="6" t="s">
        <v>1711</v>
      </c>
      <c r="C603" s="6" t="s">
        <v>1712</v>
      </c>
      <c r="D603" s="6" t="s">
        <v>1713</v>
      </c>
      <c r="E603" s="5" t="str">
        <f>HYPERLINK("https://www.esco-net.com/wcs/escort/ec/detail?hHinCd=EA463A-25","EA463A-25")</f>
        <v>EA463A-25</v>
      </c>
    </row>
    <row r="604" spans="2:5" x14ac:dyDescent="0.15">
      <c r="B604" s="6" t="s">
        <v>1711</v>
      </c>
      <c r="C604" s="6" t="s">
        <v>1714</v>
      </c>
      <c r="D604" s="6" t="s">
        <v>1715</v>
      </c>
      <c r="E604" s="5" t="str">
        <f>HYPERLINK("https://www.esco-net.com/wcs/escort/ec/detail?hHinCd=EA463A-45","EA463A-45")</f>
        <v>EA463A-45</v>
      </c>
    </row>
    <row r="605" spans="2:5" x14ac:dyDescent="0.15">
      <c r="B605" s="6" t="s">
        <v>1716</v>
      </c>
      <c r="C605" s="6" t="s">
        <v>1717</v>
      </c>
      <c r="D605" s="6" t="s">
        <v>1718</v>
      </c>
      <c r="E605" s="5" t="str">
        <f>HYPERLINK("https://www.esco-net.com/wcs/escort/ec/detail?hHinCd=EA463CC-64","EA463CC-64")</f>
        <v>EA463CC-64</v>
      </c>
    </row>
    <row r="606" spans="2:5" x14ac:dyDescent="0.15">
      <c r="B606" s="6" t="s">
        <v>1716</v>
      </c>
      <c r="C606" s="6" t="s">
        <v>1719</v>
      </c>
      <c r="D606" s="6" t="s">
        <v>1720</v>
      </c>
      <c r="E606" s="5" t="str">
        <f>HYPERLINK("https://www.esco-net.com/wcs/escort/ec/detail?hHinCd=EA463CC-76","EA463CC-76")</f>
        <v>EA463CC-76</v>
      </c>
    </row>
    <row r="607" spans="2:5" x14ac:dyDescent="0.15">
      <c r="B607" s="6" t="s">
        <v>1721</v>
      </c>
      <c r="C607" s="6" t="s">
        <v>1722</v>
      </c>
      <c r="D607" s="6" t="s">
        <v>1723</v>
      </c>
      <c r="E607" s="5"/>
    </row>
    <row r="608" spans="2:5" x14ac:dyDescent="0.15">
      <c r="B608" s="6" t="s">
        <v>1724</v>
      </c>
      <c r="C608" s="6" t="s">
        <v>1725</v>
      </c>
      <c r="D608" s="6" t="s">
        <v>1726</v>
      </c>
      <c r="E608" s="5" t="str">
        <f>HYPERLINK("https://www.esco-net.com/wcs/escort/ec/detail?hHinCd=EA475AY-94","EA475AY-94")</f>
        <v>EA475AY-94</v>
      </c>
    </row>
    <row r="609" spans="2:5" x14ac:dyDescent="0.15">
      <c r="B609" s="6" t="s">
        <v>204</v>
      </c>
      <c r="C609" s="6" t="s">
        <v>1727</v>
      </c>
      <c r="D609" s="6" t="s">
        <v>1728</v>
      </c>
      <c r="E609" s="5" t="str">
        <f>HYPERLINK("https://www.esco-net.com/wcs/escort/ec/detail?hHinCd=EA475B-150","EA475B-150")</f>
        <v>EA475B-150</v>
      </c>
    </row>
    <row r="610" spans="2:5" x14ac:dyDescent="0.15">
      <c r="B610" s="6" t="s">
        <v>204</v>
      </c>
      <c r="C610" s="6" t="s">
        <v>1729</v>
      </c>
      <c r="D610" s="6" t="s">
        <v>1730</v>
      </c>
      <c r="E610" s="5" t="str">
        <f>HYPERLINK("https://www.esco-net.com/wcs/escort/ec/detail?hHinCd=EA475C-370","EA475C-370")</f>
        <v>EA475C-370</v>
      </c>
    </row>
    <row r="611" spans="2:5" x14ac:dyDescent="0.15">
      <c r="B611" s="6" t="s">
        <v>205</v>
      </c>
      <c r="C611" s="6" t="s">
        <v>1731</v>
      </c>
      <c r="D611" s="6" t="s">
        <v>1732</v>
      </c>
      <c r="E611" s="5" t="str">
        <f>HYPERLINK("https://www.esco-net.com/wcs/escort/ec/detail?hHinCd=EA475AJ-55","EA475AJ-55")</f>
        <v>EA475AJ-55</v>
      </c>
    </row>
    <row r="612" spans="2:5" x14ac:dyDescent="0.15">
      <c r="B612" s="6" t="s">
        <v>40</v>
      </c>
      <c r="C612" s="6" t="s">
        <v>1733</v>
      </c>
      <c r="D612" s="6" t="s">
        <v>1734</v>
      </c>
      <c r="E612" s="5"/>
    </row>
    <row r="613" spans="2:5" x14ac:dyDescent="0.15">
      <c r="B613" s="6" t="s">
        <v>40</v>
      </c>
      <c r="C613" s="6" t="s">
        <v>1735</v>
      </c>
      <c r="D613" s="6" t="s">
        <v>1736</v>
      </c>
      <c r="E613" s="5" t="str">
        <f>HYPERLINK("https://www.esco-net.com/wcs/escort/ec/detail?hHinCd=EA944MA-614","EA944MA-614")</f>
        <v>EA944MA-614</v>
      </c>
    </row>
    <row r="614" spans="2:5" x14ac:dyDescent="0.15">
      <c r="B614" s="6" t="s">
        <v>206</v>
      </c>
      <c r="C614" s="6" t="s">
        <v>1737</v>
      </c>
      <c r="D614" s="6" t="s">
        <v>1738</v>
      </c>
      <c r="E614" s="5"/>
    </row>
    <row r="615" spans="2:5" x14ac:dyDescent="0.15">
      <c r="B615" s="6" t="s">
        <v>1739</v>
      </c>
      <c r="C615" s="6" t="s">
        <v>1740</v>
      </c>
      <c r="D615" s="6" t="s">
        <v>1741</v>
      </c>
      <c r="E615" s="5" t="str">
        <f>HYPERLINK("https://www.esco-net.com/wcs/escort/ec/detail?hHinCd=EA947EB-5","EA947EB-5")</f>
        <v>EA947EB-5</v>
      </c>
    </row>
    <row r="616" spans="2:5" x14ac:dyDescent="0.15">
      <c r="B616" s="6" t="s">
        <v>207</v>
      </c>
      <c r="C616" s="6" t="s">
        <v>1742</v>
      </c>
      <c r="D616" s="6" t="s">
        <v>1743</v>
      </c>
      <c r="E616" s="5" t="str">
        <f>HYPERLINK("https://www.esco-net.com/wcs/escort/ec/detail?hHinCd=EA940AK-7","EA940AK-7")</f>
        <v>EA940AK-7</v>
      </c>
    </row>
    <row r="617" spans="2:5" x14ac:dyDescent="0.15">
      <c r="B617" s="6" t="s">
        <v>207</v>
      </c>
      <c r="C617" s="6" t="s">
        <v>1744</v>
      </c>
      <c r="D617" s="6" t="s">
        <v>1745</v>
      </c>
      <c r="E617" s="5" t="str">
        <f>HYPERLINK("https://www.esco-net.com/wcs/escort/ec/detail?hHinCd=EA940AK-2","EA940AK-2")</f>
        <v>EA940AK-2</v>
      </c>
    </row>
    <row r="618" spans="2:5" x14ac:dyDescent="0.15">
      <c r="B618" s="6" t="s">
        <v>207</v>
      </c>
      <c r="C618" s="6" t="s">
        <v>1746</v>
      </c>
      <c r="D618" s="6" t="s">
        <v>1747</v>
      </c>
      <c r="E618" s="5" t="str">
        <f>HYPERLINK("https://www.esco-net.com/wcs/escort/ec/detail?hHinCd=EA940AL-5GB","EA940AL-5GB")</f>
        <v>EA940AL-5GB</v>
      </c>
    </row>
    <row r="619" spans="2:5" x14ac:dyDescent="0.15">
      <c r="B619" s="6" t="s">
        <v>1748</v>
      </c>
      <c r="C619" s="6" t="s">
        <v>1749</v>
      </c>
      <c r="D619" s="6" t="s">
        <v>1750</v>
      </c>
      <c r="E619" s="5" t="str">
        <f>HYPERLINK("https://www.esco-net.com/wcs/escort/ec/detail?hHinCd=EA940AG-522","EA940AG-522")</f>
        <v>EA940AG-522</v>
      </c>
    </row>
    <row r="620" spans="2:5" x14ac:dyDescent="0.15">
      <c r="B620" s="6" t="s">
        <v>1751</v>
      </c>
      <c r="C620" s="6" t="s">
        <v>1752</v>
      </c>
      <c r="D620" s="6" t="s">
        <v>1753</v>
      </c>
      <c r="E620" s="5" t="str">
        <f>HYPERLINK("https://www.esco-net.com/wcs/escort/ec/detail?hHinCd=EA948HB-4","EA948HB-4")</f>
        <v>EA948HB-4</v>
      </c>
    </row>
    <row r="621" spans="2:5" x14ac:dyDescent="0.15">
      <c r="B621" s="6" t="s">
        <v>208</v>
      </c>
      <c r="C621" s="6" t="s">
        <v>1754</v>
      </c>
      <c r="D621" s="6" t="s">
        <v>1755</v>
      </c>
      <c r="E621" s="5"/>
    </row>
    <row r="622" spans="2:5" x14ac:dyDescent="0.15">
      <c r="B622" s="6" t="s">
        <v>1756</v>
      </c>
      <c r="C622" s="6" t="s">
        <v>1757</v>
      </c>
      <c r="D622" s="6" t="s">
        <v>1758</v>
      </c>
      <c r="E622" s="5"/>
    </row>
    <row r="623" spans="2:5" x14ac:dyDescent="0.15">
      <c r="B623" s="6" t="s">
        <v>1759</v>
      </c>
      <c r="C623" s="6" t="s">
        <v>1760</v>
      </c>
      <c r="D623" s="6" t="s">
        <v>1761</v>
      </c>
      <c r="E623" s="5" t="str">
        <f>HYPERLINK("https://www.esco-net.com/wcs/escort/ec/detail?hHinCd=EA940CE-183","EA940CE-183")</f>
        <v>EA940CE-183</v>
      </c>
    </row>
    <row r="624" spans="2:5" x14ac:dyDescent="0.15">
      <c r="B624" s="6" t="s">
        <v>1759</v>
      </c>
      <c r="C624" s="6" t="s">
        <v>1762</v>
      </c>
      <c r="D624" s="6" t="s">
        <v>1763</v>
      </c>
      <c r="E624" s="5"/>
    </row>
    <row r="625" spans="2:5" x14ac:dyDescent="0.15">
      <c r="B625" s="6" t="s">
        <v>209</v>
      </c>
      <c r="C625" s="6" t="s">
        <v>1764</v>
      </c>
      <c r="D625" s="6" t="s">
        <v>1765</v>
      </c>
      <c r="E625" s="5"/>
    </row>
    <row r="626" spans="2:5" x14ac:dyDescent="0.15">
      <c r="B626" s="6" t="s">
        <v>209</v>
      </c>
      <c r="C626" s="6" t="s">
        <v>1766</v>
      </c>
      <c r="D626" s="6" t="s">
        <v>1765</v>
      </c>
      <c r="E626" s="5"/>
    </row>
    <row r="627" spans="2:5" x14ac:dyDescent="0.15">
      <c r="B627" s="6" t="s">
        <v>209</v>
      </c>
      <c r="C627" s="6" t="s">
        <v>1767</v>
      </c>
      <c r="D627" s="6" t="s">
        <v>1768</v>
      </c>
      <c r="E627" s="5"/>
    </row>
    <row r="628" spans="2:5" x14ac:dyDescent="0.15">
      <c r="B628" s="6" t="s">
        <v>209</v>
      </c>
      <c r="C628" s="6" t="s">
        <v>1769</v>
      </c>
      <c r="D628" s="6" t="s">
        <v>1770</v>
      </c>
      <c r="E628" s="5"/>
    </row>
    <row r="629" spans="2:5" x14ac:dyDescent="0.15">
      <c r="B629" s="6" t="s">
        <v>1771</v>
      </c>
      <c r="C629" s="6" t="s">
        <v>1772</v>
      </c>
      <c r="D629" s="6" t="s">
        <v>1773</v>
      </c>
      <c r="E629" s="5"/>
    </row>
    <row r="630" spans="2:5" x14ac:dyDescent="0.15">
      <c r="B630" s="6" t="s">
        <v>210</v>
      </c>
      <c r="C630" s="6" t="s">
        <v>1774</v>
      </c>
      <c r="D630" s="6" t="s">
        <v>1775</v>
      </c>
      <c r="E630" s="5" t="str">
        <f>HYPERLINK("https://www.esco-net.com/wcs/escort/ec/detail?hHinCd=EA815HN-1BA","EA815HN-1BA")</f>
        <v>EA815HN-1BA</v>
      </c>
    </row>
    <row r="631" spans="2:5" x14ac:dyDescent="0.15">
      <c r="B631" s="6" t="s">
        <v>1776</v>
      </c>
      <c r="C631" s="6" t="s">
        <v>1777</v>
      </c>
      <c r="D631" s="6" t="s">
        <v>1778</v>
      </c>
      <c r="E631" s="5"/>
    </row>
    <row r="632" spans="2:5" x14ac:dyDescent="0.15">
      <c r="B632" s="6" t="s">
        <v>211</v>
      </c>
      <c r="C632" s="6" t="s">
        <v>1779</v>
      </c>
      <c r="D632" s="6" t="s">
        <v>1780</v>
      </c>
      <c r="E632" s="5" t="str">
        <f>HYPERLINK("https://www.esco-net.com/wcs/escort/ec/detail?hHinCd=EA944AE-133","EA944AE-133")</f>
        <v>EA944AE-133</v>
      </c>
    </row>
    <row r="633" spans="2:5" x14ac:dyDescent="0.15">
      <c r="B633" s="6" t="s">
        <v>211</v>
      </c>
      <c r="C633" s="6" t="s">
        <v>1781</v>
      </c>
      <c r="D633" s="6" t="s">
        <v>1782</v>
      </c>
      <c r="E633" s="5" t="str">
        <f>HYPERLINK("https://www.esco-net.com/wcs/escort/ec/detail?hHinCd=EA944BH-252","EA944BH-252")</f>
        <v>EA944BH-252</v>
      </c>
    </row>
    <row r="634" spans="2:5" x14ac:dyDescent="0.15">
      <c r="B634" s="6" t="s">
        <v>212</v>
      </c>
      <c r="C634" s="6" t="s">
        <v>1783</v>
      </c>
      <c r="D634" s="6" t="s">
        <v>1784</v>
      </c>
      <c r="E634" s="5" t="str">
        <f>HYPERLINK("https://www.esco-net.com/wcs/escort/ec/detail?hHinCd=EA940DA-152A","EA940DA-152A")</f>
        <v>EA940DA-152A</v>
      </c>
    </row>
    <row r="635" spans="2:5" x14ac:dyDescent="0.15">
      <c r="B635" s="6" t="s">
        <v>1785</v>
      </c>
      <c r="C635" s="6" t="s">
        <v>1786</v>
      </c>
      <c r="D635" s="6" t="s">
        <v>1787</v>
      </c>
      <c r="E635" s="5" t="str">
        <f>HYPERLINK("https://www.esco-net.com/wcs/escort/ec/detail?hHinCd=EA983FS-168","EA983FS-168")</f>
        <v>EA983FS-168</v>
      </c>
    </row>
    <row r="636" spans="2:5" x14ac:dyDescent="0.15">
      <c r="B636" s="6" t="s">
        <v>1788</v>
      </c>
      <c r="C636" s="6" t="s">
        <v>1789</v>
      </c>
      <c r="D636" s="6" t="s">
        <v>1790</v>
      </c>
      <c r="E636" s="5" t="str">
        <f>HYPERLINK("https://www.esco-net.com/wcs/escort/ec/detail?hHinCd=EA940P-7A","EA940P-7A")</f>
        <v>EA940P-7A</v>
      </c>
    </row>
    <row r="637" spans="2:5" x14ac:dyDescent="0.15">
      <c r="B637" s="6" t="s">
        <v>41</v>
      </c>
      <c r="C637" s="6" t="s">
        <v>1791</v>
      </c>
      <c r="D637" s="6" t="s">
        <v>1792</v>
      </c>
      <c r="E637" s="5"/>
    </row>
    <row r="638" spans="2:5" x14ac:dyDescent="0.15">
      <c r="B638" s="6" t="s">
        <v>41</v>
      </c>
      <c r="C638" s="6" t="s">
        <v>1793</v>
      </c>
      <c r="D638" s="6" t="s">
        <v>1794</v>
      </c>
      <c r="E638" s="5"/>
    </row>
    <row r="639" spans="2:5" x14ac:dyDescent="0.15">
      <c r="B639" s="6" t="s">
        <v>213</v>
      </c>
      <c r="C639" s="6" t="s">
        <v>1795</v>
      </c>
      <c r="D639" s="6" t="s">
        <v>1796</v>
      </c>
      <c r="E639" s="5"/>
    </row>
    <row r="640" spans="2:5" x14ac:dyDescent="0.15">
      <c r="B640" s="6" t="s">
        <v>214</v>
      </c>
      <c r="C640" s="6" t="s">
        <v>1797</v>
      </c>
      <c r="D640" s="6" t="s">
        <v>1798</v>
      </c>
      <c r="E640" s="5"/>
    </row>
    <row r="641" spans="2:5" x14ac:dyDescent="0.15">
      <c r="B641" s="6" t="s">
        <v>214</v>
      </c>
      <c r="C641" s="6" t="s">
        <v>1799</v>
      </c>
      <c r="D641" s="6" t="s">
        <v>1800</v>
      </c>
      <c r="E641" s="5"/>
    </row>
    <row r="642" spans="2:5" x14ac:dyDescent="0.15">
      <c r="B642" s="6" t="s">
        <v>214</v>
      </c>
      <c r="C642" s="6" t="s">
        <v>1801</v>
      </c>
      <c r="D642" s="6" t="s">
        <v>1802</v>
      </c>
      <c r="E642" s="5" t="str">
        <f>HYPERLINK("https://www.esco-net.com/wcs/escort/ec/detail?hHinCd=EA948AD-406","EA948AD-406")</f>
        <v>EA948AD-406</v>
      </c>
    </row>
    <row r="643" spans="2:5" x14ac:dyDescent="0.15">
      <c r="B643" s="6" t="s">
        <v>215</v>
      </c>
      <c r="C643" s="6" t="s">
        <v>1803</v>
      </c>
      <c r="D643" s="6" t="s">
        <v>1804</v>
      </c>
      <c r="E643" s="5"/>
    </row>
    <row r="644" spans="2:5" x14ac:dyDescent="0.15">
      <c r="B644" s="6" t="s">
        <v>215</v>
      </c>
      <c r="C644" s="6" t="s">
        <v>1805</v>
      </c>
      <c r="D644" s="6" t="s">
        <v>1806</v>
      </c>
      <c r="E644" s="5"/>
    </row>
    <row r="645" spans="2:5" x14ac:dyDescent="0.15">
      <c r="B645" s="6" t="s">
        <v>215</v>
      </c>
      <c r="C645" s="6" t="s">
        <v>1807</v>
      </c>
      <c r="D645" s="6" t="s">
        <v>1808</v>
      </c>
      <c r="E645" s="5"/>
    </row>
    <row r="646" spans="2:5" x14ac:dyDescent="0.15">
      <c r="B646" s="6" t="s">
        <v>215</v>
      </c>
      <c r="C646" s="6" t="s">
        <v>1809</v>
      </c>
      <c r="D646" s="6" t="s">
        <v>1810</v>
      </c>
      <c r="E646" s="5"/>
    </row>
    <row r="647" spans="2:5" x14ac:dyDescent="0.15">
      <c r="B647" s="6" t="s">
        <v>215</v>
      </c>
      <c r="C647" s="6" t="s">
        <v>1811</v>
      </c>
      <c r="D647" s="6" t="s">
        <v>1812</v>
      </c>
      <c r="E647" s="5"/>
    </row>
    <row r="648" spans="2:5" x14ac:dyDescent="0.15">
      <c r="B648" s="6" t="s">
        <v>42</v>
      </c>
      <c r="C648" s="6" t="s">
        <v>1813</v>
      </c>
      <c r="D648" s="6" t="s">
        <v>1814</v>
      </c>
      <c r="E648" s="5"/>
    </row>
    <row r="649" spans="2:5" x14ac:dyDescent="0.15">
      <c r="B649" s="6" t="s">
        <v>1815</v>
      </c>
      <c r="C649" s="6" t="s">
        <v>1816</v>
      </c>
      <c r="D649" s="6" t="s">
        <v>1817</v>
      </c>
      <c r="E649" s="5"/>
    </row>
    <row r="650" spans="2:5" x14ac:dyDescent="0.15">
      <c r="B650" s="6" t="s">
        <v>1815</v>
      </c>
      <c r="C650" s="6" t="s">
        <v>1818</v>
      </c>
      <c r="D650" s="6" t="s">
        <v>1819</v>
      </c>
      <c r="E650" s="5" t="str">
        <f>HYPERLINK("https://www.esco-net.com/wcs/escort/ec/detail?hHinCd=EA948CC-202","EA948CC-202")</f>
        <v>EA948CC-202</v>
      </c>
    </row>
    <row r="651" spans="2:5" x14ac:dyDescent="0.15">
      <c r="B651" s="6" t="s">
        <v>216</v>
      </c>
      <c r="C651" s="6" t="s">
        <v>1820</v>
      </c>
      <c r="D651" s="6" t="s">
        <v>1821</v>
      </c>
      <c r="E651" s="5" t="str">
        <f>HYPERLINK("https://www.esco-net.com/wcs/escort/ec/detail?hHinCd=EA948C-31","EA948C-31")</f>
        <v>EA948C-31</v>
      </c>
    </row>
    <row r="652" spans="2:5" x14ac:dyDescent="0.15">
      <c r="B652" s="6" t="s">
        <v>216</v>
      </c>
      <c r="C652" s="6" t="s">
        <v>1822</v>
      </c>
      <c r="D652" s="6" t="s">
        <v>1823</v>
      </c>
      <c r="E652" s="5" t="str">
        <f>HYPERLINK("https://www.esco-net.com/wcs/escort/ec/detail?hHinCd=EA949RH-130","EA949RH-130")</f>
        <v>EA949RH-130</v>
      </c>
    </row>
    <row r="653" spans="2:5" x14ac:dyDescent="0.15">
      <c r="B653" s="6" t="s">
        <v>1824</v>
      </c>
      <c r="C653" s="6" t="s">
        <v>1825</v>
      </c>
      <c r="D653" s="6" t="s">
        <v>1826</v>
      </c>
      <c r="E653" s="5"/>
    </row>
    <row r="654" spans="2:5" x14ac:dyDescent="0.15">
      <c r="B654" s="6" t="s">
        <v>1827</v>
      </c>
      <c r="C654" s="6" t="s">
        <v>1828</v>
      </c>
      <c r="D654" s="6" t="s">
        <v>1829</v>
      </c>
      <c r="E654" s="5" t="str">
        <f>HYPERLINK("https://www.esco-net.com/wcs/escort/ec/detail?hHinCd=EA966MW-3","EA966MW-3")</f>
        <v>EA966MW-3</v>
      </c>
    </row>
    <row r="655" spans="2:5" x14ac:dyDescent="0.15">
      <c r="B655" s="6" t="s">
        <v>1830</v>
      </c>
      <c r="C655" s="6" t="s">
        <v>1831</v>
      </c>
      <c r="D655" s="6" t="s">
        <v>1832</v>
      </c>
      <c r="E655" s="5" t="str">
        <f>HYPERLINK("https://www.esco-net.com/wcs/escort/ec/detail?hHinCd=EA966EA-305","EA966EA-305")</f>
        <v>EA966EA-305</v>
      </c>
    </row>
    <row r="656" spans="2:5" x14ac:dyDescent="0.15">
      <c r="B656" s="6" t="s">
        <v>1830</v>
      </c>
      <c r="C656" s="6" t="s">
        <v>1833</v>
      </c>
      <c r="D656" s="6" t="s">
        <v>1834</v>
      </c>
      <c r="E656" s="5" t="str">
        <f>HYPERLINK("https://www.esco-net.com/wcs/escort/ec/detail?hHinCd=EA966ED-0","EA966ED-0")</f>
        <v>EA966ED-0</v>
      </c>
    </row>
    <row r="657" spans="2:5" x14ac:dyDescent="0.15">
      <c r="B657" s="6" t="s">
        <v>1835</v>
      </c>
      <c r="C657" s="6" t="s">
        <v>1836</v>
      </c>
      <c r="D657" s="6" t="s">
        <v>1837</v>
      </c>
      <c r="E657" s="5" t="str">
        <f>HYPERLINK("https://www.esco-net.com/wcs/escort/ec/detail?hHinCd=EA966EH-4","EA966EH-4")</f>
        <v>EA966EH-4</v>
      </c>
    </row>
    <row r="658" spans="2:5" x14ac:dyDescent="0.15">
      <c r="B658" s="6" t="s">
        <v>1838</v>
      </c>
      <c r="C658" s="6" t="s">
        <v>1839</v>
      </c>
      <c r="D658" s="6" t="s">
        <v>1840</v>
      </c>
      <c r="E658" s="5" t="str">
        <f>HYPERLINK("https://www.esco-net.com/wcs/escort/ec/detail?hHinCd=EA966AM-76A","EA966AM-76A")</f>
        <v>EA966AM-76A</v>
      </c>
    </row>
    <row r="659" spans="2:5" x14ac:dyDescent="0.15">
      <c r="B659" s="6" t="s">
        <v>217</v>
      </c>
      <c r="C659" s="6" t="s">
        <v>1841</v>
      </c>
      <c r="D659" s="6" t="s">
        <v>1842</v>
      </c>
      <c r="E659" s="5" t="str">
        <f>HYPERLINK("https://www.esco-net.com/wcs/escort/ec/detail?hHinCd=EA527BS-4","EA527BS-4")</f>
        <v>EA527BS-4</v>
      </c>
    </row>
    <row r="660" spans="2:5" x14ac:dyDescent="0.15">
      <c r="B660" s="6" t="s">
        <v>217</v>
      </c>
      <c r="C660" s="6" t="s">
        <v>1843</v>
      </c>
      <c r="D660" s="6" t="s">
        <v>1844</v>
      </c>
      <c r="E660" s="5" t="str">
        <f>HYPERLINK("https://www.esco-net.com/wcs/escort/ec/detail?hHinCd=EA527BS-12","EA527BS-12")</f>
        <v>EA527BS-12</v>
      </c>
    </row>
    <row r="661" spans="2:5" x14ac:dyDescent="0.15">
      <c r="B661" s="6" t="s">
        <v>217</v>
      </c>
      <c r="C661" s="6" t="s">
        <v>1845</v>
      </c>
      <c r="D661" s="6" t="s">
        <v>1846</v>
      </c>
      <c r="E661" s="5" t="str">
        <f>HYPERLINK("https://www.esco-net.com/wcs/escort/ec/detail?hHinCd=EA527BS-14","EA527BS-14")</f>
        <v>EA527BS-14</v>
      </c>
    </row>
    <row r="662" spans="2:5" x14ac:dyDescent="0.15">
      <c r="B662" s="6" t="s">
        <v>217</v>
      </c>
      <c r="C662" s="6" t="s">
        <v>1847</v>
      </c>
      <c r="D662" s="6" t="s">
        <v>1848</v>
      </c>
      <c r="E662" s="5" t="str">
        <f>HYPERLINK("https://www.esco-net.com/wcs/escort/ec/detail?hHinCd=EA527BS-15","EA527BS-15")</f>
        <v>EA527BS-15</v>
      </c>
    </row>
    <row r="663" spans="2:5" x14ac:dyDescent="0.15">
      <c r="B663" s="6" t="s">
        <v>1849</v>
      </c>
      <c r="C663" s="6" t="s">
        <v>1850</v>
      </c>
      <c r="D663" s="6" t="s">
        <v>1851</v>
      </c>
      <c r="E663" s="5"/>
    </row>
    <row r="664" spans="2:5" x14ac:dyDescent="0.15">
      <c r="B664" s="6" t="s">
        <v>43</v>
      </c>
      <c r="C664" s="6" t="s">
        <v>1852</v>
      </c>
      <c r="D664" s="6" t="s">
        <v>1853</v>
      </c>
      <c r="E664" s="5" t="str">
        <f>HYPERLINK("https://www.esco-net.com/wcs/escort/ec/detail?hHinCd=EA949LL-620","EA949LL-620")</f>
        <v>EA949LL-620</v>
      </c>
    </row>
    <row r="665" spans="2:5" x14ac:dyDescent="0.15">
      <c r="B665" s="6" t="s">
        <v>1854</v>
      </c>
      <c r="C665" s="6" t="s">
        <v>1855</v>
      </c>
      <c r="D665" s="6" t="s">
        <v>1856</v>
      </c>
      <c r="E665" s="5" t="str">
        <f>HYPERLINK("https://www.esco-net.com/wcs/escort/ec/detail?hHinCd=EA949HK-5","EA949HK-5")</f>
        <v>EA949HK-5</v>
      </c>
    </row>
    <row r="666" spans="2:5" x14ac:dyDescent="0.15">
      <c r="B666" s="6" t="s">
        <v>1857</v>
      </c>
      <c r="C666" s="6" t="s">
        <v>1858</v>
      </c>
      <c r="D666" s="6" t="s">
        <v>1859</v>
      </c>
      <c r="E666" s="5" t="str">
        <f>HYPERLINK("https://www.esco-net.com/wcs/escort/ec/detail?hHinCd=EA949AL-4","EA949AL-4")</f>
        <v>EA949AL-4</v>
      </c>
    </row>
    <row r="667" spans="2:5" x14ac:dyDescent="0.15">
      <c r="B667" s="6" t="s">
        <v>1860</v>
      </c>
      <c r="C667" s="6" t="s">
        <v>1861</v>
      </c>
      <c r="D667" s="6" t="s">
        <v>1862</v>
      </c>
      <c r="E667" s="5"/>
    </row>
    <row r="668" spans="2:5" x14ac:dyDescent="0.15">
      <c r="B668" s="6" t="s">
        <v>1863</v>
      </c>
      <c r="C668" s="6" t="s">
        <v>1864</v>
      </c>
      <c r="D668" s="6" t="s">
        <v>1865</v>
      </c>
      <c r="E668" s="5" t="str">
        <f>HYPERLINK("https://www.esco-net.com/wcs/escort/ec/detail?hHinCd=EA949WM-350","EA949WM-350")</f>
        <v>EA949WM-350</v>
      </c>
    </row>
    <row r="669" spans="2:5" x14ac:dyDescent="0.15">
      <c r="B669" s="6" t="s">
        <v>1866</v>
      </c>
      <c r="C669" s="6" t="s">
        <v>1867</v>
      </c>
      <c r="D669" s="6" t="s">
        <v>1868</v>
      </c>
      <c r="E669" s="5"/>
    </row>
    <row r="670" spans="2:5" x14ac:dyDescent="0.15">
      <c r="B670" s="6" t="s">
        <v>1869</v>
      </c>
      <c r="C670" s="6" t="s">
        <v>1870</v>
      </c>
      <c r="D670" s="6" t="s">
        <v>1871</v>
      </c>
      <c r="E670" s="5" t="str">
        <f>HYPERLINK("https://www.esco-net.com/wcs/escort/ec/detail?hHinCd=EA423RF-14","EA423RF-14")</f>
        <v>EA423RF-14</v>
      </c>
    </row>
    <row r="671" spans="2:5" x14ac:dyDescent="0.15">
      <c r="B671" s="6" t="s">
        <v>1872</v>
      </c>
      <c r="C671" s="6" t="s">
        <v>1873</v>
      </c>
      <c r="D671" s="6" t="s">
        <v>1874</v>
      </c>
      <c r="E671" s="5" t="str">
        <f>HYPERLINK("https://www.esco-net.com/wcs/escort/ec/detail?hHinCd=EA781GA-54","EA781GA-54")</f>
        <v>EA781GA-54</v>
      </c>
    </row>
    <row r="672" spans="2:5" x14ac:dyDescent="0.15">
      <c r="B672" s="6" t="s">
        <v>218</v>
      </c>
      <c r="C672" s="6" t="s">
        <v>1875</v>
      </c>
      <c r="D672" s="6" t="s">
        <v>1876</v>
      </c>
      <c r="E672" s="5" t="str">
        <f>HYPERLINK("https://www.esco-net.com/wcs/escort/ec/detail?hHinCd=EA781BR-15","EA781BR-15")</f>
        <v>EA781BR-15</v>
      </c>
    </row>
    <row r="673" spans="2:5" x14ac:dyDescent="0.15">
      <c r="B673" s="6" t="s">
        <v>218</v>
      </c>
      <c r="C673" s="6" t="s">
        <v>1877</v>
      </c>
      <c r="D673" s="6" t="s">
        <v>1878</v>
      </c>
      <c r="E673" s="5" t="str">
        <f>HYPERLINK("https://www.esco-net.com/wcs/escort/ec/detail?hHinCd=EA781BR-15","EA781BR-15")</f>
        <v>EA781BR-15</v>
      </c>
    </row>
    <row r="674" spans="2:5" x14ac:dyDescent="0.15">
      <c r="B674" s="6" t="s">
        <v>218</v>
      </c>
      <c r="C674" s="6" t="s">
        <v>1879</v>
      </c>
      <c r="D674" s="6" t="s">
        <v>1880</v>
      </c>
      <c r="E674" s="5" t="str">
        <f>HYPERLINK("https://www.esco-net.com/wcs/escort/ec/detail?hHinCd=EA781BW-101","EA781BW-101")</f>
        <v>EA781BW-101</v>
      </c>
    </row>
    <row r="675" spans="2:5" x14ac:dyDescent="0.15">
      <c r="B675" s="6" t="s">
        <v>1881</v>
      </c>
      <c r="C675" s="6" t="s">
        <v>1882</v>
      </c>
      <c r="D675" s="6" t="s">
        <v>1883</v>
      </c>
      <c r="E675" s="5" t="str">
        <f>HYPERLINK("https://www.esco-net.com/wcs/escort/ec/detail?hHinCd=EA781BS-51","EA781BS-51")</f>
        <v>EA781BS-51</v>
      </c>
    </row>
    <row r="676" spans="2:5" x14ac:dyDescent="0.15">
      <c r="B676" s="6" t="s">
        <v>219</v>
      </c>
      <c r="C676" s="6" t="s">
        <v>1884</v>
      </c>
      <c r="D676" s="6" t="s">
        <v>1885</v>
      </c>
      <c r="E676" s="5" t="str">
        <f>HYPERLINK("https://www.esco-net.com/wcs/escort/ec/detail?hHinCd=EA781ET-70A","EA781ET-70A")</f>
        <v>EA781ET-70A</v>
      </c>
    </row>
    <row r="677" spans="2:5" x14ac:dyDescent="0.15">
      <c r="B677" s="6" t="s">
        <v>219</v>
      </c>
      <c r="C677" s="6" t="s">
        <v>1886</v>
      </c>
      <c r="D677" s="6" t="s">
        <v>1887</v>
      </c>
      <c r="E677" s="5" t="str">
        <f>HYPERLINK("https://www.esco-net.com/wcs/escort/ec/detail?hHinCd=EA781GM-21","EA781GM-21")</f>
        <v>EA781GM-21</v>
      </c>
    </row>
    <row r="678" spans="2:5" x14ac:dyDescent="0.15">
      <c r="B678" s="6" t="s">
        <v>1888</v>
      </c>
      <c r="C678" s="6" t="s">
        <v>1889</v>
      </c>
      <c r="D678" s="6" t="s">
        <v>1890</v>
      </c>
      <c r="E678" s="5"/>
    </row>
    <row r="679" spans="2:5" x14ac:dyDescent="0.15">
      <c r="B679" s="6" t="s">
        <v>1891</v>
      </c>
      <c r="C679" s="6" t="s">
        <v>1892</v>
      </c>
      <c r="D679" s="6" t="s">
        <v>1893</v>
      </c>
      <c r="E679" s="5" t="str">
        <f>HYPERLINK("https://www.esco-net.com/wcs/escort/ec/detail?hHinCd=EA951LA-11","EA951LA-11")</f>
        <v>EA951LA-11</v>
      </c>
    </row>
    <row r="680" spans="2:5" x14ac:dyDescent="0.15">
      <c r="B680" s="6" t="s">
        <v>1894</v>
      </c>
      <c r="C680" s="6" t="s">
        <v>1895</v>
      </c>
      <c r="D680" s="6" t="s">
        <v>1896</v>
      </c>
      <c r="E680" s="5"/>
    </row>
    <row r="681" spans="2:5" x14ac:dyDescent="0.15">
      <c r="B681" s="6" t="s">
        <v>1897</v>
      </c>
      <c r="C681" s="6" t="s">
        <v>1898</v>
      </c>
      <c r="D681" s="6" t="s">
        <v>1899</v>
      </c>
      <c r="E681" s="5" t="str">
        <f>HYPERLINK("https://www.esco-net.com/wcs/escort/ec/detail?hHinCd=EA951LG-72","EA951LG-72")</f>
        <v>EA951LG-72</v>
      </c>
    </row>
    <row r="682" spans="2:5" x14ac:dyDescent="0.15">
      <c r="B682" s="6" t="s">
        <v>220</v>
      </c>
      <c r="C682" s="6" t="s">
        <v>1900</v>
      </c>
      <c r="D682" s="6" t="s">
        <v>1901</v>
      </c>
      <c r="E682" s="5"/>
    </row>
    <row r="683" spans="2:5" x14ac:dyDescent="0.15">
      <c r="B683" s="6" t="s">
        <v>1902</v>
      </c>
      <c r="C683" s="6" t="s">
        <v>1903</v>
      </c>
      <c r="D683" s="6" t="s">
        <v>1904</v>
      </c>
      <c r="E683" s="5"/>
    </row>
    <row r="684" spans="2:5" x14ac:dyDescent="0.15">
      <c r="B684" s="6" t="s">
        <v>1902</v>
      </c>
      <c r="C684" s="6" t="s">
        <v>1905</v>
      </c>
      <c r="D684" s="6" t="s">
        <v>1906</v>
      </c>
      <c r="E684" s="5"/>
    </row>
    <row r="685" spans="2:5" x14ac:dyDescent="0.15">
      <c r="B685" s="6" t="s">
        <v>1907</v>
      </c>
      <c r="C685" s="6" t="s">
        <v>1908</v>
      </c>
      <c r="D685" s="6" t="s">
        <v>1909</v>
      </c>
      <c r="E685" s="5"/>
    </row>
    <row r="686" spans="2:5" x14ac:dyDescent="0.15">
      <c r="B686" s="6" t="s">
        <v>221</v>
      </c>
      <c r="C686" s="6" t="s">
        <v>1910</v>
      </c>
      <c r="D686" s="6" t="s">
        <v>1911</v>
      </c>
      <c r="E686" s="5"/>
    </row>
    <row r="687" spans="2:5" x14ac:dyDescent="0.15">
      <c r="B687" s="6" t="s">
        <v>1912</v>
      </c>
      <c r="C687" s="6" t="s">
        <v>1913</v>
      </c>
      <c r="D687" s="6" t="s">
        <v>1914</v>
      </c>
      <c r="E687" s="5"/>
    </row>
    <row r="688" spans="2:5" x14ac:dyDescent="0.15">
      <c r="B688" s="6" t="s">
        <v>1915</v>
      </c>
      <c r="C688" s="6" t="s">
        <v>1916</v>
      </c>
      <c r="D688" s="6" t="s">
        <v>1917</v>
      </c>
      <c r="E688" s="5"/>
    </row>
    <row r="689" spans="2:5" x14ac:dyDescent="0.15">
      <c r="B689" s="6" t="s">
        <v>1918</v>
      </c>
      <c r="C689" s="6" t="s">
        <v>1919</v>
      </c>
      <c r="D689" s="6" t="s">
        <v>1920</v>
      </c>
      <c r="E689" s="5"/>
    </row>
    <row r="690" spans="2:5" x14ac:dyDescent="0.15">
      <c r="B690" s="6" t="s">
        <v>1921</v>
      </c>
      <c r="C690" s="6" t="s">
        <v>1922</v>
      </c>
      <c r="D690" s="6" t="s">
        <v>1923</v>
      </c>
      <c r="E690" s="5" t="str">
        <f>HYPERLINK("https://www.esco-net.com/wcs/escort/ec/detail?hHinCd=EA638MC-2","EA638MC-2")</f>
        <v>EA638MC-2</v>
      </c>
    </row>
    <row r="691" spans="2:5" x14ac:dyDescent="0.15">
      <c r="B691" s="6" t="s">
        <v>1924</v>
      </c>
      <c r="C691" s="6" t="s">
        <v>1925</v>
      </c>
      <c r="D691" s="6" t="s">
        <v>1926</v>
      </c>
      <c r="E691" s="5" t="str">
        <f>HYPERLINK("https://www.esco-net.com/wcs/escort/ec/detail?hHinCd=EA951DG-21","EA951DG-21")</f>
        <v>EA951DG-21</v>
      </c>
    </row>
    <row r="692" spans="2:5" x14ac:dyDescent="0.15">
      <c r="B692" s="6" t="s">
        <v>44</v>
      </c>
      <c r="C692" s="6" t="s">
        <v>1927</v>
      </c>
      <c r="D692" s="6" t="s">
        <v>1928</v>
      </c>
      <c r="E692" s="5"/>
    </row>
    <row r="693" spans="2:5" x14ac:dyDescent="0.15">
      <c r="B693" s="6" t="s">
        <v>222</v>
      </c>
      <c r="C693" s="6" t="s">
        <v>1929</v>
      </c>
      <c r="D693" s="6" t="s">
        <v>1930</v>
      </c>
      <c r="E693" s="5" t="str">
        <f>HYPERLINK("https://www.esco-net.com/wcs/escort/ec/detail?hHinCd=EA638DS-41","EA638DS-41")</f>
        <v>EA638DS-41</v>
      </c>
    </row>
    <row r="694" spans="2:5" x14ac:dyDescent="0.15">
      <c r="B694" s="6" t="s">
        <v>1931</v>
      </c>
      <c r="C694" s="6" t="s">
        <v>1932</v>
      </c>
      <c r="D694" s="6" t="s">
        <v>1933</v>
      </c>
      <c r="E694" s="5" t="str">
        <f>HYPERLINK("https://www.esco-net.com/wcs/escort/ec/detail?hHinCd=EA638DW-32","EA638DW-32")</f>
        <v>EA638DW-32</v>
      </c>
    </row>
    <row r="695" spans="2:5" x14ac:dyDescent="0.15">
      <c r="B695" s="6" t="s">
        <v>1931</v>
      </c>
      <c r="C695" s="6" t="s">
        <v>1934</v>
      </c>
      <c r="D695" s="6" t="s">
        <v>1935</v>
      </c>
      <c r="E695" s="5"/>
    </row>
    <row r="696" spans="2:5" x14ac:dyDescent="0.15">
      <c r="B696" s="6" t="s">
        <v>1931</v>
      </c>
      <c r="C696" s="6" t="s">
        <v>1936</v>
      </c>
      <c r="D696" s="6" t="s">
        <v>1937</v>
      </c>
      <c r="E696" s="5"/>
    </row>
    <row r="697" spans="2:5" x14ac:dyDescent="0.15">
      <c r="B697" s="6" t="s">
        <v>1938</v>
      </c>
      <c r="C697" s="6" t="s">
        <v>1939</v>
      </c>
      <c r="D697" s="6" t="s">
        <v>1940</v>
      </c>
      <c r="E697" s="5"/>
    </row>
    <row r="698" spans="2:5" x14ac:dyDescent="0.15">
      <c r="B698" s="6" t="s">
        <v>1938</v>
      </c>
      <c r="C698" s="6" t="s">
        <v>1941</v>
      </c>
      <c r="D698" s="6" t="s">
        <v>1942</v>
      </c>
      <c r="E698" s="5"/>
    </row>
    <row r="699" spans="2:5" x14ac:dyDescent="0.15">
      <c r="B699" s="6" t="s">
        <v>223</v>
      </c>
      <c r="C699" s="6" t="s">
        <v>1943</v>
      </c>
      <c r="D699" s="6" t="s">
        <v>1944</v>
      </c>
      <c r="E699" s="5"/>
    </row>
    <row r="700" spans="2:5" x14ac:dyDescent="0.15">
      <c r="B700" s="6" t="s">
        <v>223</v>
      </c>
      <c r="C700" s="6" t="s">
        <v>1945</v>
      </c>
      <c r="D700" s="6" t="s">
        <v>1946</v>
      </c>
      <c r="E700" s="5"/>
    </row>
    <row r="701" spans="2:5" x14ac:dyDescent="0.15">
      <c r="B701" s="6" t="s">
        <v>224</v>
      </c>
      <c r="C701" s="6" t="s">
        <v>1947</v>
      </c>
      <c r="D701" s="6" t="s">
        <v>1948</v>
      </c>
      <c r="E701" s="5" t="str">
        <f>HYPERLINK("https://www.esco-net.com/wcs/escort/ec/detail?hHinCd=EA628SD-2.5A","EA628SD-2.5A")</f>
        <v>EA628SD-2.5A</v>
      </c>
    </row>
    <row r="702" spans="2:5" x14ac:dyDescent="0.15">
      <c r="B702" s="6" t="s">
        <v>1949</v>
      </c>
      <c r="C702" s="6" t="s">
        <v>1950</v>
      </c>
      <c r="D702" s="6" t="s">
        <v>1951</v>
      </c>
      <c r="E702" s="5" t="str">
        <f>HYPERLINK("https://www.esco-net.com/wcs/escort/ec/detail?hHinCd=EA951AK-2.5A","EA951AK-2.5A")</f>
        <v>EA951AK-2.5A</v>
      </c>
    </row>
    <row r="703" spans="2:5" x14ac:dyDescent="0.15">
      <c r="B703" s="6" t="s">
        <v>1949</v>
      </c>
      <c r="C703" s="6" t="s">
        <v>1952</v>
      </c>
      <c r="D703" s="6" t="s">
        <v>1953</v>
      </c>
      <c r="E703" s="5" t="str">
        <f>HYPERLINK("https://www.esco-net.com/wcs/escort/ec/detail?hHinCd=EA951AK-4A","EA951AK-4A")</f>
        <v>EA951AK-4A</v>
      </c>
    </row>
    <row r="704" spans="2:5" x14ac:dyDescent="0.15">
      <c r="B704" s="6" t="s">
        <v>1949</v>
      </c>
      <c r="C704" s="6" t="s">
        <v>1954</v>
      </c>
      <c r="D704" s="6" t="s">
        <v>1955</v>
      </c>
      <c r="E704" s="5"/>
    </row>
    <row r="705" spans="2:5" x14ac:dyDescent="0.15">
      <c r="B705" s="6" t="s">
        <v>1956</v>
      </c>
      <c r="C705" s="6" t="s">
        <v>1957</v>
      </c>
      <c r="D705" s="6" t="s">
        <v>1958</v>
      </c>
      <c r="E705" s="5" t="str">
        <f>HYPERLINK("https://www.esco-net.com/wcs/escort/ec/detail?hHinCd=EA980SA-405","EA980SA-405")</f>
        <v>EA980SA-405</v>
      </c>
    </row>
    <row r="706" spans="2:5" x14ac:dyDescent="0.15">
      <c r="B706" s="6" t="s">
        <v>1956</v>
      </c>
      <c r="C706" s="6" t="s">
        <v>1959</v>
      </c>
      <c r="D706" s="6" t="s">
        <v>1960</v>
      </c>
      <c r="E706" s="5" t="str">
        <f>HYPERLINK("https://www.esco-net.com/wcs/escort/ec/detail?hHinCd=EA980SA-410","EA980SA-410")</f>
        <v>EA980SA-410</v>
      </c>
    </row>
    <row r="707" spans="2:5" x14ac:dyDescent="0.15">
      <c r="B707" s="6" t="s">
        <v>18</v>
      </c>
      <c r="C707" s="6" t="s">
        <v>1961</v>
      </c>
      <c r="D707" s="6" t="s">
        <v>1962</v>
      </c>
      <c r="E707" s="5"/>
    </row>
    <row r="708" spans="2:5" x14ac:dyDescent="0.15">
      <c r="B708" s="6" t="s">
        <v>18</v>
      </c>
      <c r="C708" s="6" t="s">
        <v>1963</v>
      </c>
      <c r="D708" s="6" t="s">
        <v>1964</v>
      </c>
      <c r="E708" s="5"/>
    </row>
    <row r="709" spans="2:5" x14ac:dyDescent="0.15">
      <c r="B709" s="6" t="s">
        <v>18</v>
      </c>
      <c r="C709" s="6" t="s">
        <v>1965</v>
      </c>
      <c r="D709" s="6" t="s">
        <v>1966</v>
      </c>
      <c r="E709" s="5"/>
    </row>
    <row r="710" spans="2:5" x14ac:dyDescent="0.15">
      <c r="B710" s="6" t="s">
        <v>18</v>
      </c>
      <c r="C710" s="6" t="s">
        <v>1967</v>
      </c>
      <c r="D710" s="6" t="s">
        <v>1968</v>
      </c>
      <c r="E710" s="5" t="str">
        <f>HYPERLINK("https://www.esco-net.com/wcs/escort/ec/detail?hHinCd=EA980TW-1.5","EA980TW-1.5")</f>
        <v>EA980TW-1.5</v>
      </c>
    </row>
    <row r="711" spans="2:5" x14ac:dyDescent="0.15">
      <c r="B711" s="6" t="s">
        <v>225</v>
      </c>
      <c r="C711" s="6" t="s">
        <v>1969</v>
      </c>
      <c r="D711" s="6" t="s">
        <v>1970</v>
      </c>
      <c r="E711" s="5"/>
    </row>
    <row r="712" spans="2:5" x14ac:dyDescent="0.15">
      <c r="B712" s="6" t="s">
        <v>1971</v>
      </c>
      <c r="C712" s="6" t="s">
        <v>1972</v>
      </c>
      <c r="D712" s="6" t="s">
        <v>1973</v>
      </c>
      <c r="E712" s="5"/>
    </row>
    <row r="713" spans="2:5" x14ac:dyDescent="0.15">
      <c r="B713" s="6" t="s">
        <v>226</v>
      </c>
      <c r="C713" s="6" t="s">
        <v>1974</v>
      </c>
      <c r="D713" s="6" t="s">
        <v>1975</v>
      </c>
      <c r="E713" s="5"/>
    </row>
    <row r="714" spans="2:5" x14ac:dyDescent="0.15">
      <c r="B714" s="6" t="s">
        <v>226</v>
      </c>
      <c r="C714" s="6" t="s">
        <v>1976</v>
      </c>
      <c r="D714" s="6" t="s">
        <v>1977</v>
      </c>
      <c r="E714" s="5" t="str">
        <f>HYPERLINK("https://www.esco-net.com/wcs/escort/ec/detail?hHinCd=EA638H-9","EA638H-9")</f>
        <v>EA638H-9</v>
      </c>
    </row>
    <row r="715" spans="2:5" x14ac:dyDescent="0.15">
      <c r="B715" s="6" t="s">
        <v>226</v>
      </c>
      <c r="C715" s="6" t="s">
        <v>1978</v>
      </c>
      <c r="D715" s="6" t="s">
        <v>1979</v>
      </c>
      <c r="E715" s="5"/>
    </row>
    <row r="716" spans="2:5" x14ac:dyDescent="0.15">
      <c r="B716" s="6" t="s">
        <v>1980</v>
      </c>
      <c r="C716" s="6" t="s">
        <v>1981</v>
      </c>
      <c r="D716" s="6" t="s">
        <v>1982</v>
      </c>
      <c r="E716" s="5" t="str">
        <f>HYPERLINK("https://www.esco-net.com/wcs/escort/ec/detail?hHinCd=EA638JN-14","EA638JN-14")</f>
        <v>EA638JN-14</v>
      </c>
    </row>
    <row r="717" spans="2:5" x14ac:dyDescent="0.15">
      <c r="B717" s="6" t="s">
        <v>1980</v>
      </c>
      <c r="C717" s="6" t="s">
        <v>1983</v>
      </c>
      <c r="D717" s="6" t="s">
        <v>1984</v>
      </c>
      <c r="E717" s="5" t="str">
        <f>HYPERLINK("https://www.esco-net.com/wcs/escort/ec/detail?hHinCd=EA638JN-4","EA638JN-4")</f>
        <v>EA638JN-4</v>
      </c>
    </row>
    <row r="718" spans="2:5" x14ac:dyDescent="0.15">
      <c r="B718" s="6" t="s">
        <v>227</v>
      </c>
      <c r="C718" s="6" t="s">
        <v>1985</v>
      </c>
      <c r="D718" s="6" t="s">
        <v>1986</v>
      </c>
      <c r="E718" s="5"/>
    </row>
    <row r="719" spans="2:5" x14ac:dyDescent="0.15">
      <c r="B719" s="6" t="s">
        <v>227</v>
      </c>
      <c r="C719" s="6" t="s">
        <v>1987</v>
      </c>
      <c r="D719" s="6" t="s">
        <v>1988</v>
      </c>
      <c r="E719" s="5" t="str">
        <f>HYPERLINK("https://www.esco-net.com/wcs/escort/ec/detail?hHinCd=EA970A-113","EA970A-113")</f>
        <v>EA970A-113</v>
      </c>
    </row>
    <row r="720" spans="2:5" x14ac:dyDescent="0.15">
      <c r="B720" s="6" t="s">
        <v>1989</v>
      </c>
      <c r="C720" s="6" t="s">
        <v>1990</v>
      </c>
      <c r="D720" s="6" t="s">
        <v>1991</v>
      </c>
      <c r="E720" s="5"/>
    </row>
    <row r="721" spans="2:5" x14ac:dyDescent="0.15">
      <c r="B721" s="6" t="s">
        <v>1989</v>
      </c>
      <c r="C721" s="6" t="s">
        <v>1992</v>
      </c>
      <c r="D721" s="6" t="s">
        <v>1993</v>
      </c>
      <c r="E721" s="5"/>
    </row>
    <row r="722" spans="2:5" x14ac:dyDescent="0.15">
      <c r="B722" s="6" t="s">
        <v>1989</v>
      </c>
      <c r="C722" s="6" t="s">
        <v>1994</v>
      </c>
      <c r="D722" s="6" t="s">
        <v>1995</v>
      </c>
      <c r="E722" s="5"/>
    </row>
    <row r="723" spans="2:5" x14ac:dyDescent="0.15">
      <c r="B723" s="6" t="s">
        <v>45</v>
      </c>
      <c r="C723" s="6" t="s">
        <v>1996</v>
      </c>
      <c r="D723" s="6" t="s">
        <v>1997</v>
      </c>
      <c r="E723" s="5" t="str">
        <f>HYPERLINK("https://www.esco-net.com/wcs/escort/ec/detail?hHinCd=EA911CA-62","EA911CA-62")</f>
        <v>EA911CA-62</v>
      </c>
    </row>
    <row r="724" spans="2:5" x14ac:dyDescent="0.15">
      <c r="B724" s="6" t="s">
        <v>1998</v>
      </c>
      <c r="C724" s="6" t="s">
        <v>1999</v>
      </c>
      <c r="D724" s="6" t="s">
        <v>2000</v>
      </c>
      <c r="E724" s="5"/>
    </row>
    <row r="725" spans="2:5" x14ac:dyDescent="0.15">
      <c r="B725" s="6" t="s">
        <v>2001</v>
      </c>
      <c r="C725" s="6" t="s">
        <v>2002</v>
      </c>
      <c r="D725" s="6" t="s">
        <v>2003</v>
      </c>
      <c r="E725" s="5" t="str">
        <f>HYPERLINK("https://www.esco-net.com/wcs/escort/ec/detail?hHinCd=EA948TF-81A","EA948TF-81A")</f>
        <v>EA948TF-81A</v>
      </c>
    </row>
    <row r="726" spans="2:5" x14ac:dyDescent="0.15">
      <c r="B726" s="6" t="s">
        <v>2004</v>
      </c>
      <c r="C726" s="6" t="s">
        <v>2005</v>
      </c>
      <c r="D726" s="6" t="s">
        <v>2006</v>
      </c>
      <c r="E726" s="5"/>
    </row>
    <row r="727" spans="2:5" x14ac:dyDescent="0.15">
      <c r="B727" s="6" t="s">
        <v>2007</v>
      </c>
      <c r="C727" s="6" t="s">
        <v>2008</v>
      </c>
      <c r="D727" s="6" t="s">
        <v>2009</v>
      </c>
      <c r="E727" s="5"/>
    </row>
    <row r="728" spans="2:5" x14ac:dyDescent="0.15">
      <c r="B728" s="6" t="s">
        <v>2007</v>
      </c>
      <c r="C728" s="6" t="s">
        <v>2010</v>
      </c>
      <c r="D728" s="6" t="s">
        <v>2011</v>
      </c>
      <c r="E728" s="5" t="str">
        <f>HYPERLINK("https://www.esco-net.com/wcs/escort/ec/detail?hHinCd=EA330FA-2","EA330FA-2")</f>
        <v>EA330FA-2</v>
      </c>
    </row>
    <row r="729" spans="2:5" x14ac:dyDescent="0.15">
      <c r="B729" s="6" t="s">
        <v>2012</v>
      </c>
      <c r="C729" s="6" t="s">
        <v>2013</v>
      </c>
      <c r="D729" s="6" t="s">
        <v>2014</v>
      </c>
      <c r="E729" s="5" t="str">
        <f>HYPERLINK("https://www.esco-net.com/wcs/escort/ec/detail?hHinCd=EA124DC-82","EA124DC-82")</f>
        <v>EA124DC-82</v>
      </c>
    </row>
    <row r="730" spans="2:5" x14ac:dyDescent="0.15">
      <c r="B730" s="6" t="s">
        <v>2012</v>
      </c>
      <c r="C730" s="6" t="s">
        <v>2015</v>
      </c>
      <c r="D730" s="6" t="s">
        <v>2016</v>
      </c>
      <c r="E730" s="5" t="str">
        <f>HYPERLINK("https://www.esco-net.com/wcs/escort/ec/detail?hHinCd=EA124DC-82","EA124DC-82")</f>
        <v>EA124DC-82</v>
      </c>
    </row>
    <row r="731" spans="2:5" x14ac:dyDescent="0.15">
      <c r="B731" s="6" t="s">
        <v>2017</v>
      </c>
      <c r="C731" s="6" t="s">
        <v>2018</v>
      </c>
      <c r="D731" s="6" t="s">
        <v>2019</v>
      </c>
      <c r="E731" s="5" t="str">
        <f>HYPERLINK("https://www.esco-net.com/wcs/escort/ec/detail?hHinCd=EA124DJ-4A","EA124DJ-4A")</f>
        <v>EA124DJ-4A</v>
      </c>
    </row>
    <row r="732" spans="2:5" x14ac:dyDescent="0.15">
      <c r="B732" s="6" t="s">
        <v>2017</v>
      </c>
      <c r="C732" s="6" t="s">
        <v>2020</v>
      </c>
      <c r="D732" s="6" t="s">
        <v>2021</v>
      </c>
      <c r="E732" s="5"/>
    </row>
    <row r="733" spans="2:5" x14ac:dyDescent="0.15">
      <c r="B733" s="6" t="s">
        <v>2022</v>
      </c>
      <c r="C733" s="6" t="s">
        <v>2023</v>
      </c>
      <c r="D733" s="6" t="s">
        <v>2024</v>
      </c>
      <c r="E733" s="5" t="str">
        <f>HYPERLINK("https://www.esco-net.com/wcs/escort/ec/detail?hHinCd=EA125DP-5D","EA125DP-5D")</f>
        <v>EA125DP-5D</v>
      </c>
    </row>
    <row r="734" spans="2:5" x14ac:dyDescent="0.15">
      <c r="B734" s="6" t="s">
        <v>46</v>
      </c>
      <c r="C734" s="6" t="s">
        <v>2025</v>
      </c>
      <c r="D734" s="6" t="s">
        <v>2026</v>
      </c>
      <c r="E734" s="5" t="str">
        <f>HYPERLINK("https://www.esco-net.com/wcs/escort/ec/detail?hHinCd=EA441EA-16","EA441EA-16")</f>
        <v>EA441EA-16</v>
      </c>
    </row>
    <row r="735" spans="2:5" x14ac:dyDescent="0.15">
      <c r="B735" s="6" t="s">
        <v>2027</v>
      </c>
      <c r="C735" s="6" t="s">
        <v>2028</v>
      </c>
      <c r="D735" s="6" t="s">
        <v>2029</v>
      </c>
      <c r="E735" s="5"/>
    </row>
    <row r="736" spans="2:5" x14ac:dyDescent="0.15">
      <c r="B736" s="6" t="s">
        <v>2030</v>
      </c>
      <c r="C736" s="6" t="s">
        <v>2031</v>
      </c>
      <c r="D736" s="6" t="s">
        <v>2032</v>
      </c>
      <c r="E736" s="5" t="str">
        <f>HYPERLINK("https://www.esco-net.com/wcs/escort/ec/detail?hHinCd=EA983FN-90Y","EA983FN-90Y")</f>
        <v>EA983FN-90Y</v>
      </c>
    </row>
    <row r="737" spans="2:5" x14ac:dyDescent="0.15">
      <c r="B737" s="6" t="s">
        <v>2033</v>
      </c>
      <c r="C737" s="6" t="s">
        <v>2034</v>
      </c>
      <c r="D737" s="6" t="s">
        <v>2035</v>
      </c>
      <c r="E737" s="5" t="str">
        <f>HYPERLINK("https://www.esco-net.com/wcs/escort/ec/detail?hHinCd=EA440HA-145","EA440HA-145")</f>
        <v>EA440HA-145</v>
      </c>
    </row>
    <row r="738" spans="2:5" x14ac:dyDescent="0.15">
      <c r="B738" s="6" t="s">
        <v>2036</v>
      </c>
      <c r="C738" s="6" t="s">
        <v>2037</v>
      </c>
      <c r="D738" s="6" t="s">
        <v>2038</v>
      </c>
      <c r="E738" s="5" t="str">
        <f>HYPERLINK("https://www.esco-net.com/wcs/escort/ec/detail?hHinCd=EA440DY-32","EA440DY-32")</f>
        <v>EA440DY-32</v>
      </c>
    </row>
    <row r="739" spans="2:5" x14ac:dyDescent="0.15">
      <c r="B739" s="6" t="s">
        <v>2039</v>
      </c>
      <c r="C739" s="6" t="s">
        <v>2040</v>
      </c>
      <c r="D739" s="6" t="s">
        <v>2041</v>
      </c>
      <c r="E739" s="5"/>
    </row>
    <row r="740" spans="2:5" x14ac:dyDescent="0.15">
      <c r="B740" s="6" t="s">
        <v>2039</v>
      </c>
      <c r="C740" s="6" t="s">
        <v>2042</v>
      </c>
      <c r="D740" s="6" t="s">
        <v>2043</v>
      </c>
      <c r="E740" s="5"/>
    </row>
    <row r="741" spans="2:5" x14ac:dyDescent="0.15">
      <c r="B741" s="6" t="s">
        <v>10</v>
      </c>
      <c r="C741" s="6" t="s">
        <v>2044</v>
      </c>
      <c r="D741" s="6" t="s">
        <v>2045</v>
      </c>
      <c r="E741" s="5" t="str">
        <f>HYPERLINK("https://www.esco-net.com/wcs/escort/ec/detail?hHinCd=EA440DY-103","EA440DY-103")</f>
        <v>EA440DY-103</v>
      </c>
    </row>
    <row r="742" spans="2:5" x14ac:dyDescent="0.15">
      <c r="B742" s="6" t="s">
        <v>10</v>
      </c>
      <c r="C742" s="6" t="s">
        <v>2046</v>
      </c>
      <c r="D742" s="6" t="s">
        <v>2047</v>
      </c>
      <c r="E742" s="5" t="str">
        <f>HYPERLINK("https://www.esco-net.com/wcs/escort/ec/detail?hHinCd=EA440DY-202","EA440DY-202")</f>
        <v>EA440DY-202</v>
      </c>
    </row>
    <row r="743" spans="2:5" x14ac:dyDescent="0.15">
      <c r="B743" s="6" t="s">
        <v>2048</v>
      </c>
      <c r="C743" s="6" t="s">
        <v>2049</v>
      </c>
      <c r="D743" s="6" t="s">
        <v>2050</v>
      </c>
      <c r="E743" s="5" t="str">
        <f>HYPERLINK("https://www.esco-net.com/wcs/escort/ec/detail?hHinCd=EA997XH-134","EA997XH-134")</f>
        <v>EA997XH-134</v>
      </c>
    </row>
    <row r="744" spans="2:5" x14ac:dyDescent="0.15">
      <c r="B744" s="6" t="s">
        <v>47</v>
      </c>
      <c r="C744" s="6" t="s">
        <v>2051</v>
      </c>
      <c r="D744" s="6" t="s">
        <v>2052</v>
      </c>
      <c r="E744" s="5" t="str">
        <f>HYPERLINK("https://www.esco-net.com/wcs/escort/ec/detail?hHinCd=EA440DY-302","EA440DY-302")</f>
        <v>EA440DY-302</v>
      </c>
    </row>
    <row r="745" spans="2:5" x14ac:dyDescent="0.15">
      <c r="B745" s="6" t="s">
        <v>47</v>
      </c>
      <c r="C745" s="6" t="s">
        <v>2053</v>
      </c>
      <c r="D745" s="6" t="s">
        <v>2054</v>
      </c>
      <c r="E745" s="5" t="str">
        <f>HYPERLINK("https://www.esco-net.com/wcs/escort/ec/detail?hHinCd=EA997XD-103","EA997XD-103")</f>
        <v>EA997XD-103</v>
      </c>
    </row>
    <row r="746" spans="2:5" x14ac:dyDescent="0.15">
      <c r="B746" s="6" t="s">
        <v>47</v>
      </c>
      <c r="C746" s="6" t="s">
        <v>2055</v>
      </c>
      <c r="D746" s="6" t="s">
        <v>2056</v>
      </c>
      <c r="E746" s="5" t="str">
        <f>HYPERLINK("https://www.esco-net.com/wcs/escort/ec/detail?hHinCd=EA997XK-210","EA997XK-210")</f>
        <v>EA997XK-210</v>
      </c>
    </row>
    <row r="747" spans="2:5" x14ac:dyDescent="0.15">
      <c r="B747" s="6" t="s">
        <v>2057</v>
      </c>
      <c r="C747" s="6" t="s">
        <v>2058</v>
      </c>
      <c r="D747" s="6" t="s">
        <v>2059</v>
      </c>
      <c r="E747" s="5"/>
    </row>
    <row r="748" spans="2:5" x14ac:dyDescent="0.15">
      <c r="B748" s="6" t="s">
        <v>2057</v>
      </c>
      <c r="C748" s="6" t="s">
        <v>2060</v>
      </c>
      <c r="D748" s="6" t="s">
        <v>2061</v>
      </c>
      <c r="E748" s="5" t="str">
        <f>HYPERLINK("https://www.esco-net.com/wcs/escort/ec/detail?hHinCd=EA911AL-5","EA911AL-5")</f>
        <v>EA911AL-5</v>
      </c>
    </row>
    <row r="749" spans="2:5" x14ac:dyDescent="0.15">
      <c r="B749" s="6" t="s">
        <v>2057</v>
      </c>
      <c r="C749" s="6" t="s">
        <v>2062</v>
      </c>
      <c r="D749" s="6" t="s">
        <v>2063</v>
      </c>
      <c r="E749" s="5" t="str">
        <f>HYPERLINK("https://www.esco-net.com/wcs/escort/ec/detail?hHinCd=EA911AK-531","EA911AK-531")</f>
        <v>EA911AK-531</v>
      </c>
    </row>
    <row r="750" spans="2:5" x14ac:dyDescent="0.15">
      <c r="B750" s="6" t="s">
        <v>2057</v>
      </c>
      <c r="C750" s="6" t="s">
        <v>2064</v>
      </c>
      <c r="D750" s="6" t="s">
        <v>2065</v>
      </c>
      <c r="E750" s="5" t="str">
        <f>HYPERLINK("https://www.esco-net.com/wcs/escort/ec/detail?hHinCd=EA911AK-5","EA911AK-5")</f>
        <v>EA911AK-5</v>
      </c>
    </row>
    <row r="751" spans="2:5" x14ac:dyDescent="0.15">
      <c r="B751" s="6" t="s">
        <v>228</v>
      </c>
      <c r="C751" s="6" t="s">
        <v>2066</v>
      </c>
      <c r="D751" s="6" t="s">
        <v>2067</v>
      </c>
      <c r="E751" s="5" t="str">
        <f>HYPERLINK("https://www.esco-net.com/wcs/escort/ec/detail?hHinCd=EA952CA-172B","EA952CA-172B")</f>
        <v>EA952CA-172B</v>
      </c>
    </row>
    <row r="752" spans="2:5" x14ac:dyDescent="0.15">
      <c r="B752" s="6" t="s">
        <v>228</v>
      </c>
      <c r="C752" s="6" t="s">
        <v>2068</v>
      </c>
      <c r="D752" s="6" t="s">
        <v>2069</v>
      </c>
      <c r="E752" s="5"/>
    </row>
    <row r="753" spans="2:5" x14ac:dyDescent="0.15">
      <c r="B753" s="6" t="s">
        <v>48</v>
      </c>
      <c r="C753" s="6" t="s">
        <v>2070</v>
      </c>
      <c r="D753" s="6" t="s">
        <v>2071</v>
      </c>
      <c r="E753" s="5"/>
    </row>
    <row r="754" spans="2:5" x14ac:dyDescent="0.15">
      <c r="B754" s="6" t="s">
        <v>2072</v>
      </c>
      <c r="C754" s="6" t="s">
        <v>2073</v>
      </c>
      <c r="D754" s="6" t="s">
        <v>2074</v>
      </c>
      <c r="E754" s="5" t="str">
        <f>HYPERLINK("https://www.esco-net.com/wcs/escort/ec/detail?hHinCd=EA944MD-92","EA944MD-92")</f>
        <v>EA944MD-92</v>
      </c>
    </row>
    <row r="755" spans="2:5" x14ac:dyDescent="0.15">
      <c r="B755" s="6" t="s">
        <v>2075</v>
      </c>
      <c r="C755" s="6" t="s">
        <v>2076</v>
      </c>
      <c r="D755" s="6" t="s">
        <v>2077</v>
      </c>
      <c r="E755" s="5" t="str">
        <f>HYPERLINK("https://www.esco-net.com/wcs/escort/ec/detail?hHinCd=EA943VK-3B","EA943VK-3B")</f>
        <v>EA943VK-3B</v>
      </c>
    </row>
    <row r="756" spans="2:5" x14ac:dyDescent="0.15">
      <c r="B756" s="6" t="s">
        <v>2075</v>
      </c>
      <c r="C756" s="6" t="s">
        <v>2078</v>
      </c>
      <c r="D756" s="6" t="s">
        <v>2079</v>
      </c>
      <c r="E756" s="5" t="str">
        <f>HYPERLINK("https://www.esco-net.com/wcs/escort/ec/detail?hHinCd=EA944MD-42","EA944MD-42")</f>
        <v>EA944MD-42</v>
      </c>
    </row>
    <row r="757" spans="2:5" x14ac:dyDescent="0.15">
      <c r="B757" s="6" t="s">
        <v>2080</v>
      </c>
      <c r="C757" s="6" t="s">
        <v>2081</v>
      </c>
      <c r="D757" s="6" t="s">
        <v>2082</v>
      </c>
      <c r="E757" s="5"/>
    </row>
    <row r="758" spans="2:5" x14ac:dyDescent="0.15">
      <c r="B758" s="6" t="s">
        <v>2083</v>
      </c>
      <c r="C758" s="6" t="s">
        <v>2084</v>
      </c>
      <c r="D758" s="6" t="s">
        <v>2085</v>
      </c>
      <c r="E758" s="5" t="str">
        <f>HYPERLINK("https://www.esco-net.com/wcs/escort/ec/detail?hHinCd=EA944KD-44A","EA944KD-44A")</f>
        <v>EA944KD-44A</v>
      </c>
    </row>
    <row r="759" spans="2:5" x14ac:dyDescent="0.15">
      <c r="B759" s="6" t="s">
        <v>2083</v>
      </c>
      <c r="C759" s="6" t="s">
        <v>2086</v>
      </c>
      <c r="D759" s="6" t="s">
        <v>2087</v>
      </c>
      <c r="E759" s="5" t="str">
        <f>HYPERLINK("https://www.esco-net.com/wcs/escort/ec/detail?hHinCd=EA944KD-45A","EA944KD-45A")</f>
        <v>EA944KD-45A</v>
      </c>
    </row>
    <row r="760" spans="2:5" x14ac:dyDescent="0.15">
      <c r="B760" s="6" t="s">
        <v>2088</v>
      </c>
      <c r="C760" s="6" t="s">
        <v>2089</v>
      </c>
      <c r="D760" s="6" t="s">
        <v>2090</v>
      </c>
      <c r="E760" s="5" t="str">
        <f>HYPERLINK("https://www.esco-net.com/wcs/escort/ec/detail?hHinCd=EA944RD-13","EA944RD-13")</f>
        <v>EA944RD-13</v>
      </c>
    </row>
    <row r="761" spans="2:5" x14ac:dyDescent="0.15">
      <c r="B761" s="6" t="s">
        <v>2088</v>
      </c>
      <c r="C761" s="6" t="s">
        <v>2091</v>
      </c>
      <c r="D761" s="6" t="s">
        <v>2092</v>
      </c>
      <c r="E761" s="5"/>
    </row>
    <row r="762" spans="2:5" x14ac:dyDescent="0.15">
      <c r="B762" s="6" t="s">
        <v>2093</v>
      </c>
      <c r="C762" s="6" t="s">
        <v>2094</v>
      </c>
      <c r="D762" s="6" t="s">
        <v>2095</v>
      </c>
      <c r="E762" s="5" t="str">
        <f>HYPERLINK("https://www.esco-net.com/wcs/escort/ec/detail?hHinCd=EA944SK-2","EA944SK-2")</f>
        <v>EA944SK-2</v>
      </c>
    </row>
    <row r="763" spans="2:5" x14ac:dyDescent="0.15">
      <c r="B763" s="6" t="s">
        <v>2096</v>
      </c>
      <c r="C763" s="6" t="s">
        <v>2097</v>
      </c>
      <c r="D763" s="6" t="s">
        <v>2098</v>
      </c>
      <c r="E763" s="5" t="str">
        <f>HYPERLINK("https://www.esco-net.com/wcs/escort/ec/detail?hHinCd=EA944WA-2A","EA944WA-2A")</f>
        <v>EA944WA-2A</v>
      </c>
    </row>
    <row r="764" spans="2:5" x14ac:dyDescent="0.15">
      <c r="B764" s="6" t="s">
        <v>93</v>
      </c>
      <c r="C764" s="6" t="s">
        <v>2099</v>
      </c>
      <c r="D764" s="6" t="s">
        <v>2100</v>
      </c>
      <c r="E764" s="5" t="str">
        <f>HYPERLINK("https://www.esco-net.com/wcs/escort/ec/detail?hHinCd=EA351CM-50","EA351CM-50")</f>
        <v>EA351CM-50</v>
      </c>
    </row>
    <row r="765" spans="2:5" x14ac:dyDescent="0.15">
      <c r="B765" s="6" t="s">
        <v>229</v>
      </c>
      <c r="C765" s="6" t="s">
        <v>2101</v>
      </c>
      <c r="D765" s="6" t="s">
        <v>2102</v>
      </c>
      <c r="E765" s="5" t="str">
        <f>HYPERLINK("https://www.esco-net.com/wcs/escort/ec/detail?hHinCd=EA351GL-65","EA351GL-65")</f>
        <v>EA351GL-65</v>
      </c>
    </row>
    <row r="766" spans="2:5" x14ac:dyDescent="0.15">
      <c r="B766" s="6" t="s">
        <v>94</v>
      </c>
      <c r="C766" s="6" t="s">
        <v>2103</v>
      </c>
      <c r="D766" s="6" t="s">
        <v>2104</v>
      </c>
      <c r="E766" s="5" t="str">
        <f>HYPERLINK("https://www.esco-net.com/wcs/escort/ec/detail?hHinCd=EA351HE-25","EA351HE-25")</f>
        <v>EA351HE-25</v>
      </c>
    </row>
    <row r="767" spans="2:5" x14ac:dyDescent="0.15">
      <c r="B767" s="6" t="s">
        <v>94</v>
      </c>
      <c r="C767" s="6" t="s">
        <v>2105</v>
      </c>
      <c r="D767" s="6" t="s">
        <v>2106</v>
      </c>
      <c r="E767" s="5" t="str">
        <f>HYPERLINK("https://www.esco-net.com/wcs/escort/ec/detail?hHinCd=EA351HE-150","EA351HE-150")</f>
        <v>EA351HE-150</v>
      </c>
    </row>
    <row r="768" spans="2:5" x14ac:dyDescent="0.15">
      <c r="B768" s="6" t="s">
        <v>230</v>
      </c>
      <c r="C768" s="6" t="s">
        <v>2107</v>
      </c>
      <c r="D768" s="6" t="s">
        <v>2108</v>
      </c>
      <c r="E768" s="5" t="str">
        <f>HYPERLINK("https://www.esco-net.com/wcs/escort/ec/detail?hHinCd=EA936A-6B","EA936A-6B")</f>
        <v>EA936A-6B</v>
      </c>
    </row>
    <row r="769" spans="2:5" x14ac:dyDescent="0.15">
      <c r="B769" s="6" t="s">
        <v>2109</v>
      </c>
      <c r="C769" s="6" t="s">
        <v>2110</v>
      </c>
      <c r="D769" s="6" t="s">
        <v>2111</v>
      </c>
      <c r="E769" s="5"/>
    </row>
    <row r="770" spans="2:5" x14ac:dyDescent="0.15">
      <c r="B770" s="6" t="s">
        <v>231</v>
      </c>
      <c r="C770" s="6" t="s">
        <v>2112</v>
      </c>
      <c r="D770" s="6" t="s">
        <v>2113</v>
      </c>
      <c r="E770" s="5"/>
    </row>
    <row r="771" spans="2:5" x14ac:dyDescent="0.15">
      <c r="B771" s="6" t="s">
        <v>2114</v>
      </c>
      <c r="C771" s="6" t="s">
        <v>2115</v>
      </c>
      <c r="D771" s="6" t="s">
        <v>2116</v>
      </c>
      <c r="E771" s="5" t="str">
        <f>HYPERLINK("https://www.esco-net.com/wcs/escort/ec/detail?hHinCd=EA942EF-24","EA942EF-24")</f>
        <v>EA942EF-24</v>
      </c>
    </row>
    <row r="772" spans="2:5" x14ac:dyDescent="0.15">
      <c r="B772" s="6" t="s">
        <v>232</v>
      </c>
      <c r="C772" s="6" t="s">
        <v>2117</v>
      </c>
      <c r="D772" s="6" t="s">
        <v>2118</v>
      </c>
      <c r="E772" s="5"/>
    </row>
    <row r="773" spans="2:5" x14ac:dyDescent="0.15">
      <c r="B773" s="6" t="s">
        <v>95</v>
      </c>
      <c r="C773" s="6" t="s">
        <v>2119</v>
      </c>
      <c r="D773" s="6" t="s">
        <v>2120</v>
      </c>
      <c r="E773" s="5" t="str">
        <f>HYPERLINK("https://www.esco-net.com/wcs/escort/ec/detail?hHinCd=EA765MD-23","EA765MD-23")</f>
        <v>EA765MD-23</v>
      </c>
    </row>
    <row r="774" spans="2:5" x14ac:dyDescent="0.15">
      <c r="B774" s="6" t="s">
        <v>2121</v>
      </c>
      <c r="C774" s="6" t="s">
        <v>2122</v>
      </c>
      <c r="D774" s="6" t="s">
        <v>2123</v>
      </c>
      <c r="E774" s="5" t="str">
        <f>HYPERLINK("https://www.esco-net.com/wcs/escort/ec/detail?hHinCd=EA921S-5","EA921S-5")</f>
        <v>EA921S-5</v>
      </c>
    </row>
    <row r="775" spans="2:5" x14ac:dyDescent="0.15">
      <c r="B775" s="6" t="s">
        <v>233</v>
      </c>
      <c r="C775" s="6" t="s">
        <v>2124</v>
      </c>
      <c r="D775" s="6" t="s">
        <v>2125</v>
      </c>
      <c r="E775" s="5" t="str">
        <f>HYPERLINK("https://www.esco-net.com/wcs/escort/ec/detail?hHinCd=EA920A-52","EA920A-52")</f>
        <v>EA920A-52</v>
      </c>
    </row>
    <row r="776" spans="2:5" x14ac:dyDescent="0.15">
      <c r="B776" s="6" t="s">
        <v>2126</v>
      </c>
      <c r="C776" s="6" t="s">
        <v>2127</v>
      </c>
      <c r="D776" s="6" t="s">
        <v>2128</v>
      </c>
      <c r="E776" s="5" t="str">
        <f>HYPERLINK("https://www.esco-net.com/wcs/escort/ec/detail?hHinCd=EA921A-300B","EA921A-300B")</f>
        <v>EA921A-300B</v>
      </c>
    </row>
    <row r="777" spans="2:5" x14ac:dyDescent="0.15">
      <c r="B777" s="6" t="s">
        <v>2129</v>
      </c>
      <c r="C777" s="6" t="s">
        <v>2130</v>
      </c>
      <c r="D777" s="6" t="s">
        <v>2131</v>
      </c>
      <c r="E777" s="5" t="str">
        <f>HYPERLINK("https://www.esco-net.com/wcs/escort/ec/detail?hHinCd=EA925HN-2","EA925HN-2")</f>
        <v>EA925HN-2</v>
      </c>
    </row>
    <row r="778" spans="2:5" x14ac:dyDescent="0.15">
      <c r="B778" s="6" t="s">
        <v>2132</v>
      </c>
      <c r="C778" s="6" t="s">
        <v>2133</v>
      </c>
      <c r="D778" s="6" t="s">
        <v>2134</v>
      </c>
      <c r="E778" s="5"/>
    </row>
    <row r="779" spans="2:5" x14ac:dyDescent="0.15">
      <c r="B779" s="6" t="s">
        <v>2135</v>
      </c>
      <c r="C779" s="6" t="s">
        <v>2136</v>
      </c>
      <c r="D779" s="6" t="s">
        <v>2137</v>
      </c>
      <c r="E779" s="5" t="str">
        <f>HYPERLINK("https://www.esco-net.com/wcs/escort/ec/detail?hHinCd=EA925MG-3A","EA925MG-3A")</f>
        <v>EA925MG-3A</v>
      </c>
    </row>
    <row r="780" spans="2:5" x14ac:dyDescent="0.15">
      <c r="B780" s="6" t="s">
        <v>2135</v>
      </c>
      <c r="C780" s="6" t="s">
        <v>2138</v>
      </c>
      <c r="D780" s="6" t="s">
        <v>2139</v>
      </c>
      <c r="E780" s="5"/>
    </row>
    <row r="781" spans="2:5" x14ac:dyDescent="0.15">
      <c r="B781" s="6" t="s">
        <v>234</v>
      </c>
      <c r="C781" s="6" t="s">
        <v>2140</v>
      </c>
      <c r="D781" s="6" t="s">
        <v>2141</v>
      </c>
      <c r="E781" s="5" t="str">
        <f>HYPERLINK("https://www.esco-net.com/wcs/escort/ec/detail?hHinCd=EA925C-15","EA925C-15")</f>
        <v>EA925C-15</v>
      </c>
    </row>
    <row r="782" spans="2:5" x14ac:dyDescent="0.15">
      <c r="B782" s="6" t="s">
        <v>234</v>
      </c>
      <c r="C782" s="6" t="s">
        <v>2142</v>
      </c>
      <c r="D782" s="6" t="s">
        <v>2143</v>
      </c>
      <c r="E782" s="5" t="str">
        <f>HYPERLINK("https://www.esco-net.com/wcs/escort/ec/detail?hHinCd=EA925C-15","EA925C-15")</f>
        <v>EA925C-15</v>
      </c>
    </row>
    <row r="783" spans="2:5" x14ac:dyDescent="0.15">
      <c r="B783" s="6" t="s">
        <v>2144</v>
      </c>
      <c r="C783" s="6" t="s">
        <v>2145</v>
      </c>
      <c r="D783" s="6" t="s">
        <v>2146</v>
      </c>
      <c r="E783" s="5" t="str">
        <f>HYPERLINK("https://www.esco-net.com/wcs/escort/ec/detail?hHinCd=EA924TA-22","EA924TA-22")</f>
        <v>EA924TA-22</v>
      </c>
    </row>
    <row r="784" spans="2:5" x14ac:dyDescent="0.15">
      <c r="B784" s="6" t="s">
        <v>2147</v>
      </c>
      <c r="C784" s="6" t="s">
        <v>2148</v>
      </c>
      <c r="D784" s="6" t="s">
        <v>2149</v>
      </c>
      <c r="E784" s="5" t="str">
        <f>HYPERLINK("https://www.esco-net.com/wcs/escort/ec/detail?hHinCd=EA925M-23","EA925M-23")</f>
        <v>EA925M-23</v>
      </c>
    </row>
    <row r="785" spans="2:5" x14ac:dyDescent="0.15">
      <c r="B785" s="6" t="s">
        <v>2150</v>
      </c>
      <c r="C785" s="6" t="s">
        <v>2151</v>
      </c>
      <c r="D785" s="6" t="s">
        <v>2152</v>
      </c>
      <c r="E785" s="5" t="str">
        <f>HYPERLINK("https://www.esco-net.com/wcs/escort/ec/detail?hHinCd=EA925M-72","EA925M-72")</f>
        <v>EA925M-72</v>
      </c>
    </row>
    <row r="786" spans="2:5" x14ac:dyDescent="0.15">
      <c r="B786" s="6" t="s">
        <v>2153</v>
      </c>
      <c r="C786" s="6" t="s">
        <v>2154</v>
      </c>
      <c r="D786" s="6" t="s">
        <v>2155</v>
      </c>
      <c r="E786" s="5" t="str">
        <f>HYPERLINK("https://www.esco-net.com/wcs/escort/ec/detail?hHinCd=EA927GA-11","EA927GA-11")</f>
        <v>EA927GA-11</v>
      </c>
    </row>
    <row r="787" spans="2:5" x14ac:dyDescent="0.15">
      <c r="B787" s="6" t="s">
        <v>2156</v>
      </c>
      <c r="C787" s="6" t="s">
        <v>2157</v>
      </c>
      <c r="D787" s="6" t="s">
        <v>2158</v>
      </c>
      <c r="E787" s="5"/>
    </row>
    <row r="788" spans="2:5" x14ac:dyDescent="0.15">
      <c r="B788" s="6" t="s">
        <v>2159</v>
      </c>
      <c r="C788" s="6" t="s">
        <v>2160</v>
      </c>
      <c r="D788" s="6" t="s">
        <v>2161</v>
      </c>
      <c r="E788" s="5" t="str">
        <f>HYPERLINK("https://www.esco-net.com/wcs/escort/ec/detail?hHinCd=EA925GM-6A","EA925GM-6A")</f>
        <v>EA925GM-6A</v>
      </c>
    </row>
    <row r="789" spans="2:5" x14ac:dyDescent="0.15">
      <c r="B789" s="6" t="s">
        <v>2162</v>
      </c>
      <c r="C789" s="6" t="s">
        <v>2163</v>
      </c>
      <c r="D789" s="6" t="s">
        <v>2164</v>
      </c>
      <c r="E789" s="5"/>
    </row>
    <row r="790" spans="2:5" x14ac:dyDescent="0.15">
      <c r="B790" s="6" t="s">
        <v>2165</v>
      </c>
      <c r="C790" s="6" t="s">
        <v>2166</v>
      </c>
      <c r="D790" s="6" t="s">
        <v>2167</v>
      </c>
      <c r="E790" s="5" t="str">
        <f>HYPERLINK("https://www.esco-net.com/wcs/escort/ec/detail?hHinCd=EA927CE-11","EA927CE-11")</f>
        <v>EA927CE-11</v>
      </c>
    </row>
    <row r="791" spans="2:5" x14ac:dyDescent="0.15">
      <c r="B791" s="6" t="s">
        <v>2165</v>
      </c>
      <c r="C791" s="6" t="s">
        <v>2168</v>
      </c>
      <c r="D791" s="6" t="s">
        <v>2169</v>
      </c>
      <c r="E791" s="5" t="str">
        <f>HYPERLINK("https://www.esco-net.com/wcs/escort/ec/detail?hHinCd=EA927CE-50","EA927CE-50")</f>
        <v>EA927CE-50</v>
      </c>
    </row>
    <row r="792" spans="2:5" x14ac:dyDescent="0.15">
      <c r="B792" s="6" t="s">
        <v>235</v>
      </c>
      <c r="C792" s="6" t="s">
        <v>2170</v>
      </c>
      <c r="D792" s="6" t="s">
        <v>2171</v>
      </c>
      <c r="E792" s="5"/>
    </row>
    <row r="793" spans="2:5" x14ac:dyDescent="0.15">
      <c r="B793" s="6" t="s">
        <v>235</v>
      </c>
      <c r="C793" s="6" t="s">
        <v>2172</v>
      </c>
      <c r="D793" s="6" t="s">
        <v>2173</v>
      </c>
      <c r="E793" s="5"/>
    </row>
    <row r="794" spans="2:5" x14ac:dyDescent="0.15">
      <c r="B794" s="6" t="s">
        <v>235</v>
      </c>
      <c r="C794" s="6" t="s">
        <v>2174</v>
      </c>
      <c r="D794" s="6" t="s">
        <v>2175</v>
      </c>
      <c r="E794" s="5" t="str">
        <f>HYPERLINK("https://www.esco-net.com/wcs/escort/ec/detail?hHinCd=EA925DB-37","EA925DB-37")</f>
        <v>EA925DB-37</v>
      </c>
    </row>
    <row r="795" spans="2:5" x14ac:dyDescent="0.15">
      <c r="B795" s="6" t="s">
        <v>235</v>
      </c>
      <c r="C795" s="6" t="s">
        <v>2176</v>
      </c>
      <c r="D795" s="6" t="s">
        <v>2177</v>
      </c>
      <c r="E795" s="5" t="str">
        <f>HYPERLINK("https://www.esco-net.com/wcs/escort/ec/detail?hHinCd=EA927CE-37","EA927CE-37")</f>
        <v>EA927CE-37</v>
      </c>
    </row>
    <row r="796" spans="2:5" x14ac:dyDescent="0.15">
      <c r="B796" s="6" t="s">
        <v>2178</v>
      </c>
      <c r="C796" s="6" t="s">
        <v>2179</v>
      </c>
      <c r="D796" s="6" t="s">
        <v>2180</v>
      </c>
      <c r="E796" s="5" t="str">
        <f>HYPERLINK("https://www.esco-net.com/wcs/escort/ec/detail?hHinCd=EA927AG-96","EA927AG-96")</f>
        <v>EA927AG-96</v>
      </c>
    </row>
    <row r="797" spans="2:5" x14ac:dyDescent="0.15">
      <c r="B797" s="6" t="s">
        <v>2178</v>
      </c>
      <c r="C797" s="6" t="s">
        <v>2181</v>
      </c>
      <c r="D797" s="6" t="s">
        <v>2182</v>
      </c>
      <c r="E797" s="5" t="str">
        <f>HYPERLINK("https://www.esco-net.com/wcs/escort/ec/detail?hHinCd=EA927CK-5","EA927CK-5")</f>
        <v>EA927CK-5</v>
      </c>
    </row>
    <row r="798" spans="2:5" x14ac:dyDescent="0.15">
      <c r="B798" s="6" t="s">
        <v>236</v>
      </c>
      <c r="C798" s="6" t="s">
        <v>2183</v>
      </c>
      <c r="D798" s="6" t="s">
        <v>2184</v>
      </c>
      <c r="E798" s="5" t="str">
        <f>HYPERLINK("https://www.esco-net.com/wcs/escort/ec/detail?hHinCd=EA509C-51","EA509C-51")</f>
        <v>EA509C-51</v>
      </c>
    </row>
    <row r="799" spans="2:5" x14ac:dyDescent="0.15">
      <c r="B799" s="6" t="s">
        <v>2185</v>
      </c>
      <c r="C799" s="6" t="s">
        <v>2186</v>
      </c>
      <c r="D799" s="6" t="s">
        <v>2187</v>
      </c>
      <c r="E799" s="5" t="str">
        <f>HYPERLINK("https://www.esco-net.com/wcs/escort/ec/detail?hHinCd=EA509AG-14A","EA509AG-14A")</f>
        <v>EA509AG-14A</v>
      </c>
    </row>
    <row r="800" spans="2:5" x14ac:dyDescent="0.15">
      <c r="B800" s="6" t="s">
        <v>49</v>
      </c>
      <c r="C800" s="6" t="s">
        <v>2188</v>
      </c>
      <c r="D800" s="6" t="s">
        <v>2189</v>
      </c>
      <c r="E800" s="5"/>
    </row>
    <row r="801" spans="2:5" x14ac:dyDescent="0.15">
      <c r="B801" s="6" t="s">
        <v>49</v>
      </c>
      <c r="C801" s="6" t="s">
        <v>2190</v>
      </c>
      <c r="D801" s="6" t="s">
        <v>2191</v>
      </c>
      <c r="E801" s="5" t="str">
        <f>HYPERLINK("https://www.esco-net.com/wcs/escort/ec/detail?hHinCd=EA508TM-3","EA508TM-3")</f>
        <v>EA508TM-3</v>
      </c>
    </row>
    <row r="802" spans="2:5" x14ac:dyDescent="0.15">
      <c r="B802" s="6" t="s">
        <v>2192</v>
      </c>
      <c r="C802" s="6" t="s">
        <v>2193</v>
      </c>
      <c r="D802" s="6" t="s">
        <v>2194</v>
      </c>
      <c r="E802" s="5" t="str">
        <f>HYPERLINK("https://www.esco-net.com/wcs/escort/ec/detail?hHinCd=EA661AC-112","EA661AC-112")</f>
        <v>EA661AC-112</v>
      </c>
    </row>
    <row r="803" spans="2:5" x14ac:dyDescent="0.15">
      <c r="B803" s="6" t="s">
        <v>2195</v>
      </c>
      <c r="C803" s="6" t="s">
        <v>2196</v>
      </c>
      <c r="D803" s="6" t="s">
        <v>2197</v>
      </c>
      <c r="E803" s="5" t="str">
        <f>HYPERLINK("https://www.esco-net.com/wcs/escort/ec/detail?hHinCd=EA505MD-11A","EA505MD-11A")</f>
        <v>EA505MD-11A</v>
      </c>
    </row>
    <row r="804" spans="2:5" x14ac:dyDescent="0.15">
      <c r="B804" s="6" t="s">
        <v>2198</v>
      </c>
      <c r="C804" s="6" t="s">
        <v>2199</v>
      </c>
      <c r="D804" s="6" t="s">
        <v>2200</v>
      </c>
      <c r="E804" s="5"/>
    </row>
    <row r="805" spans="2:5" x14ac:dyDescent="0.15">
      <c r="B805" s="6" t="s">
        <v>2198</v>
      </c>
      <c r="C805" s="6" t="s">
        <v>2201</v>
      </c>
      <c r="D805" s="6" t="s">
        <v>2202</v>
      </c>
      <c r="E805" s="5"/>
    </row>
    <row r="806" spans="2:5" x14ac:dyDescent="0.15">
      <c r="B806" s="6" t="s">
        <v>2203</v>
      </c>
      <c r="C806" s="6" t="s">
        <v>2204</v>
      </c>
      <c r="D806" s="6" t="s">
        <v>2205</v>
      </c>
      <c r="E806" s="5" t="str">
        <f>HYPERLINK("https://www.esco-net.com/wcs/escort/ec/detail?hHinCd=EA504AA-41","EA504AA-41")</f>
        <v>EA504AA-41</v>
      </c>
    </row>
    <row r="807" spans="2:5" x14ac:dyDescent="0.15">
      <c r="B807" s="6" t="s">
        <v>2206</v>
      </c>
      <c r="C807" s="6" t="s">
        <v>2207</v>
      </c>
      <c r="D807" s="6" t="s">
        <v>2208</v>
      </c>
      <c r="E807" s="5" t="str">
        <f>HYPERLINK("https://www.esco-net.com/wcs/escort/ec/detail?hHinCd=EA502C","EA502C")</f>
        <v>EA502C</v>
      </c>
    </row>
    <row r="808" spans="2:5" x14ac:dyDescent="0.15">
      <c r="B808" s="6" t="s">
        <v>2206</v>
      </c>
      <c r="C808" s="6" t="s">
        <v>2209</v>
      </c>
      <c r="D808" s="6" t="s">
        <v>2210</v>
      </c>
      <c r="E808" s="5"/>
    </row>
    <row r="809" spans="2:5" x14ac:dyDescent="0.15">
      <c r="B809" s="6" t="s">
        <v>2211</v>
      </c>
      <c r="C809" s="6" t="s">
        <v>2212</v>
      </c>
      <c r="D809" s="6" t="s">
        <v>2213</v>
      </c>
      <c r="E809" s="5" t="str">
        <f>HYPERLINK("https://www.esco-net.com/wcs/escort/ec/detail?hHinCd=EA657MC-60B","EA657MC-60B")</f>
        <v>EA657MC-60B</v>
      </c>
    </row>
    <row r="810" spans="2:5" x14ac:dyDescent="0.15">
      <c r="B810" s="6" t="s">
        <v>237</v>
      </c>
      <c r="C810" s="6" t="s">
        <v>2214</v>
      </c>
      <c r="D810" s="6" t="s">
        <v>2215</v>
      </c>
      <c r="E810" s="5" t="str">
        <f>HYPERLINK("https://www.esco-net.com/wcs/escort/ec/detail?hHinCd=EA657AR-557","EA657AR-557")</f>
        <v>EA657AR-557</v>
      </c>
    </row>
    <row r="811" spans="2:5" x14ac:dyDescent="0.15">
      <c r="B811" s="6" t="s">
        <v>2216</v>
      </c>
      <c r="C811" s="6" t="s">
        <v>2217</v>
      </c>
      <c r="D811" s="6" t="s">
        <v>2218</v>
      </c>
      <c r="E811" s="5"/>
    </row>
    <row r="812" spans="2:5" x14ac:dyDescent="0.15">
      <c r="B812" s="6" t="s">
        <v>238</v>
      </c>
      <c r="C812" s="6" t="s">
        <v>2219</v>
      </c>
      <c r="D812" s="6" t="s">
        <v>2220</v>
      </c>
      <c r="E812" s="5" t="str">
        <f>HYPERLINK("https://www.esco-net.com/wcs/escort/ec/detail?hHinCd=EA505-11A","EA505-11A")</f>
        <v>EA505-11A</v>
      </c>
    </row>
    <row r="813" spans="2:5" x14ac:dyDescent="0.15">
      <c r="B813" s="6" t="s">
        <v>238</v>
      </c>
      <c r="C813" s="6" t="s">
        <v>2221</v>
      </c>
      <c r="D813" s="6" t="s">
        <v>2222</v>
      </c>
      <c r="E813" s="5" t="str">
        <f>HYPERLINK("https://www.esco-net.com/wcs/escort/ec/detail?hHinCd=EA960AB-18A","EA960AB-18A")</f>
        <v>EA960AB-18A</v>
      </c>
    </row>
    <row r="814" spans="2:5" x14ac:dyDescent="0.15">
      <c r="B814" s="6" t="s">
        <v>2223</v>
      </c>
      <c r="C814" s="6" t="s">
        <v>2224</v>
      </c>
      <c r="D814" s="6" t="s">
        <v>2225</v>
      </c>
      <c r="E814" s="5" t="str">
        <f>HYPERLINK("https://www.esco-net.com/wcs/escort/ec/detail?hHinCd=EA505-14","EA505-14")</f>
        <v>EA505-14</v>
      </c>
    </row>
    <row r="815" spans="2:5" x14ac:dyDescent="0.15">
      <c r="B815" s="6" t="s">
        <v>2223</v>
      </c>
      <c r="C815" s="6" t="s">
        <v>2226</v>
      </c>
      <c r="D815" s="6" t="s">
        <v>2227</v>
      </c>
      <c r="E815" s="5" t="str">
        <f>HYPERLINK("https://www.esco-net.com/wcs/escort/ec/detail?hHinCd=EA505-14B","EA505-14B")</f>
        <v>EA505-14B</v>
      </c>
    </row>
    <row r="816" spans="2:5" x14ac:dyDescent="0.15">
      <c r="B816" s="6" t="s">
        <v>50</v>
      </c>
      <c r="C816" s="6" t="s">
        <v>2228</v>
      </c>
      <c r="D816" s="6" t="s">
        <v>2229</v>
      </c>
      <c r="E816" s="5" t="str">
        <f>HYPERLINK("https://www.esco-net.com/wcs/escort/ec/detail?hHinCd=EA506AB-41AA","EA506AB-41AA")</f>
        <v>EA506AB-41AA</v>
      </c>
    </row>
    <row r="817" spans="2:5" x14ac:dyDescent="0.15">
      <c r="B817" s="6" t="s">
        <v>50</v>
      </c>
      <c r="C817" s="6" t="s">
        <v>2230</v>
      </c>
      <c r="D817" s="6" t="s">
        <v>2231</v>
      </c>
      <c r="E817" s="5" t="str">
        <f>HYPERLINK("https://www.esco-net.com/wcs/escort/ec/detail?hHinCd=EA506AB-42A","EA506AB-42A")</f>
        <v>EA506AB-42A</v>
      </c>
    </row>
    <row r="818" spans="2:5" x14ac:dyDescent="0.15">
      <c r="B818" s="6" t="s">
        <v>50</v>
      </c>
      <c r="C818" s="6" t="s">
        <v>2232</v>
      </c>
      <c r="D818" s="6" t="s">
        <v>2233</v>
      </c>
      <c r="E818" s="5" t="str">
        <f>HYPERLINK("https://www.esco-net.com/wcs/escort/ec/detail?hHinCd=EA506AB-42BA","EA506AB-42BA")</f>
        <v>EA506AB-42BA</v>
      </c>
    </row>
    <row r="819" spans="2:5" x14ac:dyDescent="0.15">
      <c r="B819" s="6" t="s">
        <v>50</v>
      </c>
      <c r="C819" s="6" t="s">
        <v>2234</v>
      </c>
      <c r="D819" s="6" t="s">
        <v>2235</v>
      </c>
      <c r="E819" s="5" t="str">
        <f>HYPERLINK("https://www.esco-net.com/wcs/escort/ec/detail?hHinCd=EA506AB-43AA","EA506AB-43AA")</f>
        <v>EA506AB-43AA</v>
      </c>
    </row>
    <row r="820" spans="2:5" x14ac:dyDescent="0.15">
      <c r="B820" s="6" t="s">
        <v>50</v>
      </c>
      <c r="C820" s="6" t="s">
        <v>2236</v>
      </c>
      <c r="D820" s="6" t="s">
        <v>2237</v>
      </c>
      <c r="E820" s="5" t="str">
        <f>HYPERLINK("https://www.esco-net.com/wcs/escort/ec/detail?hHinCd=EA506AB-47AA","EA506AB-47AA")</f>
        <v>EA506AB-47AA</v>
      </c>
    </row>
    <row r="821" spans="2:5" x14ac:dyDescent="0.15">
      <c r="B821" s="6" t="s">
        <v>50</v>
      </c>
      <c r="C821" s="6" t="s">
        <v>2238</v>
      </c>
      <c r="D821" s="6" t="s">
        <v>2239</v>
      </c>
      <c r="E821" s="5" t="str">
        <f>HYPERLINK("https://www.esco-net.com/wcs/escort/ec/detail?hHinCd=EA506AB-47BB","EA506AB-47BB")</f>
        <v>EA506AB-47BB</v>
      </c>
    </row>
    <row r="822" spans="2:5" x14ac:dyDescent="0.15">
      <c r="B822" s="6" t="s">
        <v>50</v>
      </c>
      <c r="C822" s="6" t="s">
        <v>2240</v>
      </c>
      <c r="D822" s="6" t="s">
        <v>2241</v>
      </c>
      <c r="E822" s="5" t="str">
        <f>HYPERLINK("https://www.esco-net.com/wcs/escort/ec/detail?hHinCd=EA506AB-50CC","EA506AB-50CC")</f>
        <v>EA506AB-50CC</v>
      </c>
    </row>
    <row r="823" spans="2:5" x14ac:dyDescent="0.15">
      <c r="B823" s="6" t="s">
        <v>50</v>
      </c>
      <c r="C823" s="6" t="s">
        <v>2242</v>
      </c>
      <c r="D823" s="6" t="s">
        <v>2243</v>
      </c>
      <c r="E823" s="5" t="str">
        <f>HYPERLINK("https://www.esco-net.com/wcs/escort/ec/detail?hHinCd=EA506LA-21CA","EA506LA-21CA")</f>
        <v>EA506LA-21CA</v>
      </c>
    </row>
    <row r="824" spans="2:5" x14ac:dyDescent="0.15">
      <c r="B824" s="6" t="s">
        <v>2244</v>
      </c>
      <c r="C824" s="6" t="s">
        <v>2245</v>
      </c>
      <c r="D824" s="6" t="s">
        <v>2246</v>
      </c>
      <c r="E824" s="5"/>
    </row>
    <row r="825" spans="2:5" x14ac:dyDescent="0.15">
      <c r="B825" s="6" t="s">
        <v>2247</v>
      </c>
      <c r="C825" s="6" t="s">
        <v>2248</v>
      </c>
      <c r="D825" s="6" t="s">
        <v>2249</v>
      </c>
      <c r="E825" s="5" t="str">
        <f>HYPERLINK("https://www.esco-net.com/wcs/escort/ec/detail?hHinCd=EA520AB-101","EA520AB-101")</f>
        <v>EA520AB-101</v>
      </c>
    </row>
    <row r="826" spans="2:5" x14ac:dyDescent="0.15">
      <c r="B826" s="6" t="s">
        <v>239</v>
      </c>
      <c r="C826" s="6" t="s">
        <v>2250</v>
      </c>
      <c r="D826" s="6" t="s">
        <v>2251</v>
      </c>
      <c r="E826" s="5" t="str">
        <f>HYPERLINK("https://www.esco-net.com/wcs/escort/ec/detail?hHinCd=EA506AK-53","EA506AK-53")</f>
        <v>EA506AK-53</v>
      </c>
    </row>
    <row r="827" spans="2:5" x14ac:dyDescent="0.15">
      <c r="B827" s="6" t="s">
        <v>51</v>
      </c>
      <c r="C827" s="6" t="s">
        <v>2252</v>
      </c>
      <c r="D827" s="6" t="s">
        <v>2253</v>
      </c>
      <c r="E827" s="5" t="str">
        <f>HYPERLINK("https://www.esco-net.com/wcs/escort/ec/detail?hHinCd=EA506AA-28","EA506AA-28")</f>
        <v>EA506AA-28</v>
      </c>
    </row>
    <row r="828" spans="2:5" x14ac:dyDescent="0.15">
      <c r="B828" s="6" t="s">
        <v>2254</v>
      </c>
      <c r="C828" s="6" t="s">
        <v>2255</v>
      </c>
      <c r="D828" s="6" t="s">
        <v>2256</v>
      </c>
      <c r="E828" s="5" t="str">
        <f>HYPERLINK("https://www.esco-net.com/wcs/escort/ec/detail?hHinCd=EA661CS-2A","EA661CS-2A")</f>
        <v>EA661CS-2A</v>
      </c>
    </row>
    <row r="829" spans="2:5" x14ac:dyDescent="0.15">
      <c r="B829" s="6" t="s">
        <v>2257</v>
      </c>
      <c r="C829" s="6" t="s">
        <v>2258</v>
      </c>
      <c r="D829" s="6" t="s">
        <v>2259</v>
      </c>
      <c r="E829" s="5"/>
    </row>
    <row r="830" spans="2:5" x14ac:dyDescent="0.15">
      <c r="B830" s="6" t="s">
        <v>2260</v>
      </c>
      <c r="C830" s="6" t="s">
        <v>2261</v>
      </c>
      <c r="D830" s="6" t="s">
        <v>2262</v>
      </c>
      <c r="E830" s="5"/>
    </row>
    <row r="831" spans="2:5" x14ac:dyDescent="0.15">
      <c r="B831" s="6" t="s">
        <v>2263</v>
      </c>
      <c r="C831" s="6" t="s">
        <v>2264</v>
      </c>
      <c r="D831" s="6" t="s">
        <v>2265</v>
      </c>
      <c r="E831" s="5"/>
    </row>
    <row r="832" spans="2:5" x14ac:dyDescent="0.15">
      <c r="B832" s="6" t="s">
        <v>2263</v>
      </c>
      <c r="C832" s="6" t="s">
        <v>2266</v>
      </c>
      <c r="D832" s="6" t="s">
        <v>2267</v>
      </c>
      <c r="E832" s="5" t="str">
        <f>HYPERLINK("https://www.esco-net.com/wcs/escort/ec/detail?hHinCd=EA956CB-12","EA956CB-12")</f>
        <v>EA956CB-12</v>
      </c>
    </row>
    <row r="833" spans="2:5" x14ac:dyDescent="0.15">
      <c r="B833" s="6" t="s">
        <v>2268</v>
      </c>
      <c r="C833" s="6" t="s">
        <v>2269</v>
      </c>
      <c r="D833" s="6" t="s">
        <v>2270</v>
      </c>
      <c r="E833" s="5"/>
    </row>
    <row r="834" spans="2:5" x14ac:dyDescent="0.15">
      <c r="B834" s="6" t="s">
        <v>2271</v>
      </c>
      <c r="C834" s="6" t="s">
        <v>2272</v>
      </c>
      <c r="D834" s="6" t="s">
        <v>2273</v>
      </c>
      <c r="E834" s="5" t="str">
        <f>HYPERLINK("https://www.esco-net.com/wcs/escort/ec/detail?hHinCd=EA976BY-657A","EA976BY-657A")</f>
        <v>EA976BY-657A</v>
      </c>
    </row>
    <row r="835" spans="2:5" x14ac:dyDescent="0.15">
      <c r="B835" s="6" t="s">
        <v>52</v>
      </c>
      <c r="C835" s="6" t="s">
        <v>2274</v>
      </c>
      <c r="D835" s="6" t="s">
        <v>2275</v>
      </c>
      <c r="E835" s="5" t="str">
        <f>HYPERLINK("https://www.esco-net.com/wcs/escort/ec/detail?hHinCd=EA976DK-150B","EA976DK-150B")</f>
        <v>EA976DK-150B</v>
      </c>
    </row>
    <row r="836" spans="2:5" x14ac:dyDescent="0.15">
      <c r="B836" s="6" t="s">
        <v>2276</v>
      </c>
      <c r="C836" s="6" t="s">
        <v>2277</v>
      </c>
      <c r="D836" s="6" t="s">
        <v>2278</v>
      </c>
      <c r="E836" s="5" t="str">
        <f>HYPERLINK("https://www.esco-net.com/wcs/escort/ec/detail?hHinCd=EA944NM-4C","EA944NM-4C")</f>
        <v>EA944NM-4C</v>
      </c>
    </row>
    <row r="837" spans="2:5" x14ac:dyDescent="0.15">
      <c r="B837" s="6" t="s">
        <v>2279</v>
      </c>
      <c r="C837" s="6" t="s">
        <v>2280</v>
      </c>
      <c r="D837" s="6" t="s">
        <v>2281</v>
      </c>
      <c r="E837" s="5"/>
    </row>
    <row r="838" spans="2:5" x14ac:dyDescent="0.15">
      <c r="B838" s="6" t="s">
        <v>2282</v>
      </c>
      <c r="C838" s="6" t="s">
        <v>2283</v>
      </c>
      <c r="D838" s="6" t="s">
        <v>2284</v>
      </c>
      <c r="E838" s="5" t="str">
        <f>HYPERLINK("https://www.esco-net.com/wcs/escort/ec/detail?hHinCd=EA475HZ-13","EA475HZ-13")</f>
        <v>EA475HZ-13</v>
      </c>
    </row>
    <row r="839" spans="2:5" x14ac:dyDescent="0.15">
      <c r="B839" s="6" t="s">
        <v>240</v>
      </c>
      <c r="C839" s="6" t="s">
        <v>2285</v>
      </c>
      <c r="D839" s="6" t="s">
        <v>2286</v>
      </c>
      <c r="E839" s="5" t="str">
        <f>HYPERLINK("https://www.esco-net.com/wcs/escort/ec/detail?hHinCd=EA520FG-2","EA520FG-2")</f>
        <v>EA520FG-2</v>
      </c>
    </row>
    <row r="840" spans="2:5" x14ac:dyDescent="0.15">
      <c r="B840" s="6" t="s">
        <v>2287</v>
      </c>
      <c r="C840" s="6" t="s">
        <v>2288</v>
      </c>
      <c r="D840" s="6" t="s">
        <v>2289</v>
      </c>
      <c r="E840" s="5" t="str">
        <f>HYPERLINK("https://www.esco-net.com/wcs/escort/ec/detail?hHinCd=EA520FD-2","EA520FD-2")</f>
        <v>EA520FD-2</v>
      </c>
    </row>
    <row r="841" spans="2:5" x14ac:dyDescent="0.15">
      <c r="B841" s="6" t="s">
        <v>2290</v>
      </c>
      <c r="C841" s="6" t="s">
        <v>2291</v>
      </c>
      <c r="D841" s="6" t="s">
        <v>2292</v>
      </c>
      <c r="E841" s="5" t="str">
        <f>HYPERLINK("https://www.esco-net.com/wcs/escort/ec/detail?hHinCd=EA520BE-2","EA520BE-2")</f>
        <v>EA520BE-2</v>
      </c>
    </row>
    <row r="842" spans="2:5" x14ac:dyDescent="0.15">
      <c r="B842" s="6" t="s">
        <v>2293</v>
      </c>
      <c r="C842" s="6" t="s">
        <v>2294</v>
      </c>
      <c r="D842" s="6" t="s">
        <v>2295</v>
      </c>
      <c r="E842" s="5"/>
    </row>
    <row r="843" spans="2:5" x14ac:dyDescent="0.15">
      <c r="B843" s="6" t="s">
        <v>2293</v>
      </c>
      <c r="C843" s="6" t="s">
        <v>2296</v>
      </c>
      <c r="D843" s="6" t="s">
        <v>2297</v>
      </c>
      <c r="E843" s="5"/>
    </row>
    <row r="844" spans="2:5" x14ac:dyDescent="0.15">
      <c r="B844" s="6" t="s">
        <v>2293</v>
      </c>
      <c r="C844" s="6" t="s">
        <v>2298</v>
      </c>
      <c r="D844" s="6" t="s">
        <v>2299</v>
      </c>
      <c r="E844" s="5" t="str">
        <f>HYPERLINK("https://www.esco-net.com/wcs/escort/ec/detail?hHinCd=EA520BF-2","EA520BF-2")</f>
        <v>EA520BF-2</v>
      </c>
    </row>
    <row r="845" spans="2:5" x14ac:dyDescent="0.15">
      <c r="B845" s="6" t="s">
        <v>2300</v>
      </c>
      <c r="C845" s="6" t="s">
        <v>2301</v>
      </c>
      <c r="D845" s="6" t="s">
        <v>2302</v>
      </c>
      <c r="E845" s="5" t="str">
        <f>HYPERLINK("https://www.esco-net.com/wcs/escort/ec/detail?hHinCd=EA520BE-81","EA520BE-81")</f>
        <v>EA520BE-81</v>
      </c>
    </row>
    <row r="846" spans="2:5" x14ac:dyDescent="0.15">
      <c r="B846" s="6" t="s">
        <v>2300</v>
      </c>
      <c r="C846" s="6" t="s">
        <v>2303</v>
      </c>
      <c r="D846" s="6" t="s">
        <v>2304</v>
      </c>
      <c r="E846" s="5" t="str">
        <f>HYPERLINK("https://www.esco-net.com/wcs/escort/ec/detail?hHinCd=EA520BE-72","EA520BE-72")</f>
        <v>EA520BE-72</v>
      </c>
    </row>
    <row r="847" spans="2:5" x14ac:dyDescent="0.15">
      <c r="B847" s="6" t="s">
        <v>2305</v>
      </c>
      <c r="C847" s="6" t="s">
        <v>2306</v>
      </c>
      <c r="D847" s="6" t="s">
        <v>2307</v>
      </c>
      <c r="E847" s="5"/>
    </row>
    <row r="848" spans="2:5" x14ac:dyDescent="0.15">
      <c r="B848" s="6" t="s">
        <v>2308</v>
      </c>
      <c r="C848" s="6" t="s">
        <v>2309</v>
      </c>
      <c r="D848" s="6" t="s">
        <v>2310</v>
      </c>
      <c r="E848" s="5" t="str">
        <f>HYPERLINK("https://www.esco-net.com/wcs/escort/ec/detail?hHinCd=EA985EJ-3","EA985EJ-3")</f>
        <v>EA985EJ-3</v>
      </c>
    </row>
    <row r="849" spans="2:5" x14ac:dyDescent="0.15">
      <c r="B849" s="6" t="s">
        <v>2311</v>
      </c>
      <c r="C849" s="6" t="s">
        <v>2312</v>
      </c>
      <c r="D849" s="6" t="s">
        <v>2313</v>
      </c>
      <c r="E849" s="5" t="str">
        <f>HYPERLINK("https://www.esco-net.com/wcs/escort/ec/detail?hHinCd=EA985LA-131","EA985LA-131")</f>
        <v>EA985LA-131</v>
      </c>
    </row>
    <row r="850" spans="2:5" x14ac:dyDescent="0.15">
      <c r="B850" s="6" t="s">
        <v>2314</v>
      </c>
      <c r="C850" s="6" t="s">
        <v>2315</v>
      </c>
      <c r="D850" s="6" t="s">
        <v>2316</v>
      </c>
      <c r="E850" s="5"/>
    </row>
    <row r="851" spans="2:5" x14ac:dyDescent="0.15">
      <c r="B851" s="6" t="s">
        <v>2317</v>
      </c>
      <c r="C851" s="6" t="s">
        <v>2318</v>
      </c>
      <c r="D851" s="6" t="s">
        <v>2319</v>
      </c>
      <c r="E851" s="5"/>
    </row>
    <row r="852" spans="2:5" x14ac:dyDescent="0.15">
      <c r="B852" s="6" t="s">
        <v>2317</v>
      </c>
      <c r="C852" s="6" t="s">
        <v>2320</v>
      </c>
      <c r="D852" s="6" t="s">
        <v>2321</v>
      </c>
      <c r="E852" s="5"/>
    </row>
    <row r="853" spans="2:5" x14ac:dyDescent="0.15">
      <c r="B853" s="6" t="s">
        <v>2322</v>
      </c>
      <c r="C853" s="6" t="s">
        <v>2323</v>
      </c>
      <c r="D853" s="6" t="s">
        <v>2324</v>
      </c>
      <c r="E853" s="5"/>
    </row>
    <row r="854" spans="2:5" x14ac:dyDescent="0.15">
      <c r="B854" s="6" t="s">
        <v>2325</v>
      </c>
      <c r="C854" s="6" t="s">
        <v>2326</v>
      </c>
      <c r="D854" s="6" t="s">
        <v>2327</v>
      </c>
      <c r="E854" s="5" t="str">
        <f>HYPERLINK("https://www.esco-net.com/wcs/escort/ec/detail?hHinCd=EA986HH-220","EA986HH-220")</f>
        <v>EA986HH-220</v>
      </c>
    </row>
    <row r="855" spans="2:5" x14ac:dyDescent="0.15">
      <c r="B855" s="6" t="s">
        <v>2328</v>
      </c>
      <c r="C855" s="6" t="s">
        <v>2329</v>
      </c>
      <c r="D855" s="6" t="s">
        <v>2330</v>
      </c>
      <c r="E855" s="5"/>
    </row>
    <row r="856" spans="2:5" x14ac:dyDescent="0.15">
      <c r="B856" s="6" t="s">
        <v>53</v>
      </c>
      <c r="C856" s="6" t="s">
        <v>2331</v>
      </c>
      <c r="D856" s="6" t="s">
        <v>2332</v>
      </c>
      <c r="E856" s="5"/>
    </row>
    <row r="857" spans="2:5" x14ac:dyDescent="0.15">
      <c r="B857" s="6" t="s">
        <v>96</v>
      </c>
      <c r="C857" s="6" t="s">
        <v>2333</v>
      </c>
      <c r="D857" s="6" t="s">
        <v>2334</v>
      </c>
      <c r="E857" s="5"/>
    </row>
    <row r="858" spans="2:5" x14ac:dyDescent="0.15">
      <c r="B858" s="6" t="s">
        <v>96</v>
      </c>
      <c r="C858" s="6" t="s">
        <v>2335</v>
      </c>
      <c r="D858" s="6" t="s">
        <v>242</v>
      </c>
      <c r="E858" s="5" t="str">
        <f>HYPERLINK("https://www.esco-net.com/wcs/escort/ec/detail?hHinCd=EA986GP-2","EA986GP-2")</f>
        <v>EA986GP-2</v>
      </c>
    </row>
    <row r="859" spans="2:5" x14ac:dyDescent="0.15">
      <c r="B859" s="6" t="s">
        <v>97</v>
      </c>
      <c r="C859" s="6" t="s">
        <v>2336</v>
      </c>
      <c r="D859" s="6" t="s">
        <v>2337</v>
      </c>
      <c r="E859" s="5"/>
    </row>
    <row r="860" spans="2:5" x14ac:dyDescent="0.15">
      <c r="B860" s="6" t="s">
        <v>241</v>
      </c>
      <c r="C860" s="6" t="s">
        <v>2338</v>
      </c>
      <c r="D860" s="6" t="s">
        <v>2339</v>
      </c>
      <c r="E860" s="5"/>
    </row>
    <row r="861" spans="2:5" x14ac:dyDescent="0.15">
      <c r="B861" s="6" t="s">
        <v>2340</v>
      </c>
      <c r="C861" s="6" t="s">
        <v>2341</v>
      </c>
      <c r="D861" s="6" t="s">
        <v>2342</v>
      </c>
      <c r="E861" s="5"/>
    </row>
    <row r="862" spans="2:5" x14ac:dyDescent="0.15">
      <c r="B862" s="6" t="s">
        <v>243</v>
      </c>
      <c r="C862" s="6" t="s">
        <v>2343</v>
      </c>
      <c r="D862" s="6" t="s">
        <v>2344</v>
      </c>
      <c r="E862" s="5"/>
    </row>
    <row r="863" spans="2:5" x14ac:dyDescent="0.15">
      <c r="B863" s="6" t="s">
        <v>2345</v>
      </c>
      <c r="C863" s="6" t="s">
        <v>2346</v>
      </c>
      <c r="D863" s="6" t="s">
        <v>2347</v>
      </c>
      <c r="E863" s="5" t="str">
        <f>HYPERLINK("https://www.esco-net.com/wcs/escort/ec/detail?hHinCd=EA986VD-100","EA986VD-100")</f>
        <v>EA986VD-100</v>
      </c>
    </row>
    <row r="864" spans="2:5" x14ac:dyDescent="0.15">
      <c r="B864" s="6" t="s">
        <v>98</v>
      </c>
      <c r="C864" s="6" t="s">
        <v>2348</v>
      </c>
      <c r="D864" s="6" t="s">
        <v>2349</v>
      </c>
      <c r="E864" s="5"/>
    </row>
    <row r="865" spans="2:5" x14ac:dyDescent="0.15">
      <c r="B865" s="6" t="s">
        <v>98</v>
      </c>
      <c r="C865" s="6" t="s">
        <v>2350</v>
      </c>
      <c r="D865" s="6" t="s">
        <v>2351</v>
      </c>
      <c r="E865" s="5"/>
    </row>
    <row r="866" spans="2:5" x14ac:dyDescent="0.15">
      <c r="B866" s="6" t="s">
        <v>99</v>
      </c>
      <c r="C866" s="6" t="s">
        <v>2352</v>
      </c>
      <c r="D866" s="6" t="s">
        <v>2353</v>
      </c>
      <c r="E866" s="5" t="str">
        <f>HYPERLINK("https://www.esco-net.com/wcs/escort/ec/detail?hHinCd=EA949HA-235","EA949HA-235")</f>
        <v>EA949HA-235</v>
      </c>
    </row>
    <row r="867" spans="2:5" x14ac:dyDescent="0.15">
      <c r="B867" s="6" t="s">
        <v>2354</v>
      </c>
      <c r="C867" s="6" t="s">
        <v>2355</v>
      </c>
      <c r="D867" s="6" t="s">
        <v>2356</v>
      </c>
      <c r="E867" s="5"/>
    </row>
    <row r="868" spans="2:5" x14ac:dyDescent="0.15">
      <c r="B868" s="6" t="s">
        <v>2357</v>
      </c>
      <c r="C868" s="6" t="s">
        <v>2358</v>
      </c>
      <c r="D868" s="6" t="s">
        <v>2359</v>
      </c>
      <c r="E868" s="5" t="str">
        <f>HYPERLINK("https://www.esco-net.com/wcs/escort/ec/detail?hHinCd=EA993KC-3B","EA993KC-3B")</f>
        <v>EA993KC-3B</v>
      </c>
    </row>
    <row r="869" spans="2:5" x14ac:dyDescent="0.15">
      <c r="B869" s="6" t="s">
        <v>2360</v>
      </c>
      <c r="C869" s="6" t="s">
        <v>2361</v>
      </c>
      <c r="D869" s="6" t="s">
        <v>2362</v>
      </c>
      <c r="E869" s="5" t="str">
        <f>HYPERLINK("https://www.esco-net.com/wcs/escort/ec/detail?hHinCd=EA989RD-41A","EA989RD-41A")</f>
        <v>EA989RD-41A</v>
      </c>
    </row>
    <row r="870" spans="2:5" x14ac:dyDescent="0.15">
      <c r="B870" s="6" t="s">
        <v>2363</v>
      </c>
      <c r="C870" s="6" t="s">
        <v>2364</v>
      </c>
      <c r="D870" s="6" t="s">
        <v>2365</v>
      </c>
      <c r="E870" s="5"/>
    </row>
    <row r="871" spans="2:5" x14ac:dyDescent="0.15">
      <c r="B871" s="6" t="s">
        <v>2366</v>
      </c>
      <c r="C871" s="6" t="s">
        <v>2367</v>
      </c>
      <c r="D871" s="6" t="s">
        <v>2368</v>
      </c>
      <c r="E871" s="5"/>
    </row>
    <row r="872" spans="2:5" x14ac:dyDescent="0.15">
      <c r="B872" s="6" t="s">
        <v>2369</v>
      </c>
      <c r="C872" s="6" t="s">
        <v>2370</v>
      </c>
      <c r="D872" s="6" t="s">
        <v>2371</v>
      </c>
      <c r="E872" s="5" t="str">
        <f>HYPERLINK("https://www.esco-net.com/wcs/escort/ec/detail?hHinCd=EA982BC-2B","EA982BC-2B")</f>
        <v>EA982BC-2B</v>
      </c>
    </row>
    <row r="873" spans="2:5" x14ac:dyDescent="0.15">
      <c r="B873" s="6" t="s">
        <v>244</v>
      </c>
      <c r="C873" s="6" t="s">
        <v>2372</v>
      </c>
      <c r="D873" s="6" t="s">
        <v>2373</v>
      </c>
      <c r="E873" s="5" t="str">
        <f>HYPERLINK("https://www.esco-net.com/wcs/escort/ec/detail?hHinCd=EA982BB-122","EA982BB-122")</f>
        <v>EA982BB-122</v>
      </c>
    </row>
    <row r="874" spans="2:5" x14ac:dyDescent="0.15">
      <c r="B874" s="6" t="s">
        <v>11</v>
      </c>
      <c r="C874" s="6" t="s">
        <v>2374</v>
      </c>
      <c r="D874" s="6" t="s">
        <v>2375</v>
      </c>
      <c r="E874" s="5" t="str">
        <f>HYPERLINK("https://www.esco-net.com/wcs/escort/ec/detail?hHinCd=EA982SA-16A","EA982SA-16A")</f>
        <v>EA982SA-16A</v>
      </c>
    </row>
    <row r="875" spans="2:5" x14ac:dyDescent="0.15">
      <c r="B875" s="6" t="s">
        <v>11</v>
      </c>
      <c r="C875" s="6" t="s">
        <v>2376</v>
      </c>
      <c r="D875" s="6" t="s">
        <v>2377</v>
      </c>
      <c r="E875" s="5" t="str">
        <f>HYPERLINK("https://www.esco-net.com/wcs/escort/ec/detail?hHinCd=EA982SA-34A","EA982SA-34A")</f>
        <v>EA982SA-34A</v>
      </c>
    </row>
    <row r="876" spans="2:5" x14ac:dyDescent="0.15">
      <c r="B876" s="6" t="s">
        <v>11</v>
      </c>
      <c r="C876" s="6" t="s">
        <v>2378</v>
      </c>
      <c r="D876" s="6" t="s">
        <v>2379</v>
      </c>
      <c r="E876" s="5" t="str">
        <f>HYPERLINK("https://www.esco-net.com/wcs/escort/ec/detail?hHinCd=EA982SA-36A","EA982SA-36A")</f>
        <v>EA982SA-36A</v>
      </c>
    </row>
    <row r="877" spans="2:5" x14ac:dyDescent="0.15">
      <c r="B877" s="6" t="s">
        <v>11</v>
      </c>
      <c r="C877" s="6" t="s">
        <v>2380</v>
      </c>
      <c r="D877" s="6" t="s">
        <v>2381</v>
      </c>
      <c r="E877" s="5" t="str">
        <f>HYPERLINK("https://www.esco-net.com/wcs/escort/ec/detail?hHinCd=EA982SF-25A","EA982SF-25A")</f>
        <v>EA982SF-25A</v>
      </c>
    </row>
    <row r="878" spans="2:5" x14ac:dyDescent="0.15">
      <c r="B878" s="6" t="s">
        <v>11</v>
      </c>
      <c r="C878" s="6" t="s">
        <v>2382</v>
      </c>
      <c r="D878" s="6" t="s">
        <v>2383</v>
      </c>
      <c r="E878" s="5" t="str">
        <f>HYPERLINK("https://www.esco-net.com/wcs/escort/ec/detail?hHinCd=EA982ST-34A","EA982ST-34A")</f>
        <v>EA982ST-34A</v>
      </c>
    </row>
    <row r="879" spans="2:5" x14ac:dyDescent="0.15">
      <c r="B879" s="6" t="s">
        <v>100</v>
      </c>
      <c r="C879" s="6" t="s">
        <v>2384</v>
      </c>
      <c r="D879" s="6" t="s">
        <v>2385</v>
      </c>
      <c r="E879" s="5" t="str">
        <f>HYPERLINK("https://www.esco-net.com/wcs/escort/ec/detail?hHinCd=EA982SB-40A","EA982SB-40A")</f>
        <v>EA982SB-40A</v>
      </c>
    </row>
    <row r="880" spans="2:5" x14ac:dyDescent="0.15">
      <c r="B880" s="6" t="s">
        <v>100</v>
      </c>
      <c r="C880" s="6" t="s">
        <v>2386</v>
      </c>
      <c r="D880" s="6" t="s">
        <v>2387</v>
      </c>
      <c r="E880" s="5" t="str">
        <f>HYPERLINK("https://www.esco-net.com/wcs/escort/ec/detail?hHinCd=EA982SE-5A","EA982SE-5A")</f>
        <v>EA982SE-5A</v>
      </c>
    </row>
    <row r="881" spans="2:5" x14ac:dyDescent="0.15">
      <c r="B881" s="6" t="s">
        <v>2388</v>
      </c>
      <c r="C881" s="6" t="s">
        <v>2389</v>
      </c>
      <c r="D881" s="6" t="s">
        <v>2390</v>
      </c>
      <c r="E881" s="5" t="str">
        <f>HYPERLINK("https://www.esco-net.com/wcs/escort/ec/detail?hHinCd=EA638FY-25","EA638FY-25")</f>
        <v>EA638FY-25</v>
      </c>
    </row>
    <row r="882" spans="2:5" x14ac:dyDescent="0.15">
      <c r="B882" s="6" t="s">
        <v>2391</v>
      </c>
      <c r="C882" s="6" t="s">
        <v>2392</v>
      </c>
      <c r="D882" s="6" t="s">
        <v>2393</v>
      </c>
      <c r="E882" s="5" t="str">
        <f>HYPERLINK("https://www.esco-net.com/wcs/escort/ec/detail?hHinCd=EA638JD-11","EA638JD-11")</f>
        <v>EA638JD-11</v>
      </c>
    </row>
    <row r="883" spans="2:5" x14ac:dyDescent="0.15">
      <c r="B883" s="6" t="s">
        <v>2391</v>
      </c>
      <c r="C883" s="6" t="s">
        <v>2394</v>
      </c>
      <c r="D883" s="6" t="s">
        <v>2395</v>
      </c>
      <c r="E883" s="5"/>
    </row>
    <row r="884" spans="2:5" x14ac:dyDescent="0.15">
      <c r="B884" s="6" t="s">
        <v>54</v>
      </c>
      <c r="C884" s="6" t="s">
        <v>2396</v>
      </c>
      <c r="D884" s="6" t="s">
        <v>2397</v>
      </c>
      <c r="E884" s="5" t="str">
        <f>HYPERLINK("https://www.esco-net.com/wcs/escort/ec/detail?hHinCd=EA628PT-13","EA628PT-13")</f>
        <v>EA628PT-13</v>
      </c>
    </row>
    <row r="885" spans="2:5" x14ac:dyDescent="0.15">
      <c r="B885" s="6" t="s">
        <v>54</v>
      </c>
      <c r="C885" s="6" t="s">
        <v>2398</v>
      </c>
      <c r="D885" s="6" t="s">
        <v>2399</v>
      </c>
      <c r="E885" s="5" t="str">
        <f>HYPERLINK("https://www.esco-net.com/wcs/escort/ec/detail?hHinCd=EA944M-5","EA944M-5")</f>
        <v>EA944M-5</v>
      </c>
    </row>
    <row r="886" spans="2:5" x14ac:dyDescent="0.15">
      <c r="B886" s="6" t="s">
        <v>2400</v>
      </c>
      <c r="C886" s="6" t="s">
        <v>2401</v>
      </c>
      <c r="D886" s="6" t="s">
        <v>2402</v>
      </c>
      <c r="E886" s="5" t="str">
        <f>HYPERLINK("https://www.esco-net.com/wcs/escort/ec/detail?hHinCd=EA944MA-408","EA944MA-408")</f>
        <v>EA944MA-408</v>
      </c>
    </row>
    <row r="887" spans="2:5" x14ac:dyDescent="0.15">
      <c r="B887" s="6" t="s">
        <v>245</v>
      </c>
      <c r="C887" s="6" t="s">
        <v>2403</v>
      </c>
      <c r="D887" s="6" t="s">
        <v>2404</v>
      </c>
      <c r="E887" s="5" t="str">
        <f>HYPERLINK("https://www.esco-net.com/wcs/escort/ec/detail?hHinCd=EA628WL-520A","EA628WL-520A")</f>
        <v>EA628WL-520A</v>
      </c>
    </row>
    <row r="888" spans="2:5" x14ac:dyDescent="0.15">
      <c r="B888" s="6" t="s">
        <v>246</v>
      </c>
      <c r="C888" s="6" t="s">
        <v>2405</v>
      </c>
      <c r="D888" s="6" t="s">
        <v>2406</v>
      </c>
      <c r="E888" s="5" t="str">
        <f>HYPERLINK("https://www.esco-net.com/wcs/escort/ec/detail?hHinCd=EA628WA-13A","EA628WA-13A")</f>
        <v>EA628WA-13A</v>
      </c>
    </row>
    <row r="889" spans="2:5" x14ac:dyDescent="0.15">
      <c r="B889" s="6" t="s">
        <v>246</v>
      </c>
      <c r="C889" s="6" t="s">
        <v>2407</v>
      </c>
      <c r="D889" s="6" t="s">
        <v>2408</v>
      </c>
      <c r="E889" s="5" t="str">
        <f>HYPERLINK("https://www.esco-net.com/wcs/escort/ec/detail?hHinCd=EA916Y-26","EA916Y-26")</f>
        <v>EA916Y-26</v>
      </c>
    </row>
    <row r="890" spans="2:5" x14ac:dyDescent="0.15">
      <c r="B890" s="6" t="s">
        <v>247</v>
      </c>
      <c r="C890" s="6" t="s">
        <v>2409</v>
      </c>
      <c r="D890" s="6" t="s">
        <v>2410</v>
      </c>
      <c r="E890" s="5" t="str">
        <f>HYPERLINK("https://www.esco-net.com/wcs/escort/ec/detail?hHinCd=EA628PS-38","EA628PS-38")</f>
        <v>EA628PS-38</v>
      </c>
    </row>
    <row r="891" spans="2:5" x14ac:dyDescent="0.15">
      <c r="B891" s="6" t="s">
        <v>2411</v>
      </c>
      <c r="C891" s="6" t="s">
        <v>2412</v>
      </c>
      <c r="D891" s="6" t="s">
        <v>2413</v>
      </c>
      <c r="E891" s="5" t="str">
        <f>HYPERLINK("https://www.esco-net.com/wcs/escort/ec/detail?hHinCd=EA628XA-20B","EA628XA-20B")</f>
        <v>EA628XA-20B</v>
      </c>
    </row>
    <row r="892" spans="2:5" x14ac:dyDescent="0.15">
      <c r="B892" s="6" t="s">
        <v>2414</v>
      </c>
      <c r="C892" s="6" t="s">
        <v>2415</v>
      </c>
      <c r="D892" s="6" t="s">
        <v>2416</v>
      </c>
      <c r="E892" s="5" t="str">
        <f>HYPERLINK("https://www.esco-net.com/wcs/escort/ec/detail?hHinCd=EA628MG-15","EA628MG-15")</f>
        <v>EA628MG-15</v>
      </c>
    </row>
    <row r="893" spans="2:5" x14ac:dyDescent="0.15">
      <c r="B893" s="6" t="s">
        <v>101</v>
      </c>
      <c r="C893" s="6" t="s">
        <v>2417</v>
      </c>
      <c r="D893" s="6" t="s">
        <v>2418</v>
      </c>
      <c r="E893" s="5" t="str">
        <f>HYPERLINK("https://www.esco-net.com/wcs/escort/ec/detail?hHinCd=EA911TG-22A","EA911TG-22A")</f>
        <v>EA911TG-22A</v>
      </c>
    </row>
    <row r="894" spans="2:5" x14ac:dyDescent="0.15">
      <c r="B894" s="6" t="s">
        <v>101</v>
      </c>
      <c r="C894" s="6" t="s">
        <v>2419</v>
      </c>
      <c r="D894" s="6" t="s">
        <v>2420</v>
      </c>
      <c r="E894" s="5" t="str">
        <f>HYPERLINK("https://www.esco-net.com/wcs/escort/ec/detail?hHinCd=EA911TG-35A","EA911TG-35A")</f>
        <v>EA911TG-35A</v>
      </c>
    </row>
    <row r="895" spans="2:5" x14ac:dyDescent="0.15">
      <c r="B895" s="6" t="s">
        <v>2421</v>
      </c>
      <c r="C895" s="6" t="s">
        <v>2422</v>
      </c>
      <c r="D895" s="6" t="s">
        <v>2423</v>
      </c>
      <c r="E895" s="5" t="str">
        <f>HYPERLINK("https://www.esco-net.com/wcs/escort/ec/detail?hHinCd=EA984CD-82","EA984CD-82")</f>
        <v>EA984CD-82</v>
      </c>
    </row>
    <row r="896" spans="2:5" x14ac:dyDescent="0.15">
      <c r="B896" s="6" t="s">
        <v>2424</v>
      </c>
      <c r="C896" s="6" t="s">
        <v>2425</v>
      </c>
      <c r="D896" s="6" t="s">
        <v>2426</v>
      </c>
      <c r="E896" s="5" t="str">
        <f>HYPERLINK("https://www.esco-net.com/wcs/escort/ec/detail?hHinCd=EA987SD-74","EA987SD-74")</f>
        <v>EA987SD-74</v>
      </c>
    </row>
    <row r="897" spans="2:5" x14ac:dyDescent="0.15">
      <c r="B897" s="6" t="s">
        <v>2424</v>
      </c>
      <c r="C897" s="6" t="s">
        <v>2427</v>
      </c>
      <c r="D897" s="6" t="s">
        <v>2428</v>
      </c>
      <c r="E897" s="5"/>
    </row>
    <row r="898" spans="2:5" x14ac:dyDescent="0.15">
      <c r="B898" s="6" t="s">
        <v>2429</v>
      </c>
      <c r="C898" s="6" t="s">
        <v>2430</v>
      </c>
      <c r="D898" s="6" t="s">
        <v>2431</v>
      </c>
      <c r="E898" s="5"/>
    </row>
    <row r="899" spans="2:5" x14ac:dyDescent="0.15">
      <c r="B899" s="6" t="s">
        <v>2432</v>
      </c>
      <c r="C899" s="6" t="s">
        <v>2433</v>
      </c>
      <c r="D899" s="6" t="s">
        <v>2434</v>
      </c>
      <c r="E899" s="5" t="str">
        <f>HYPERLINK("https://www.esco-net.com/wcs/escort/ec/detail?hHinCd=EA981WS-33","EA981WS-33")</f>
        <v>EA981WS-33</v>
      </c>
    </row>
    <row r="900" spans="2:5" x14ac:dyDescent="0.15">
      <c r="B900" s="6" t="s">
        <v>2432</v>
      </c>
      <c r="C900" s="6" t="s">
        <v>2435</v>
      </c>
      <c r="D900" s="6" t="s">
        <v>2436</v>
      </c>
      <c r="E900" s="5" t="str">
        <f>HYPERLINK("https://www.esco-net.com/wcs/escort/ec/detail?hHinCd=EA981WT-13","EA981WT-13")</f>
        <v>EA981WT-13</v>
      </c>
    </row>
    <row r="901" spans="2:5" x14ac:dyDescent="0.15">
      <c r="B901" s="6" t="s">
        <v>102</v>
      </c>
      <c r="C901" s="6" t="s">
        <v>2437</v>
      </c>
      <c r="D901" s="6" t="s">
        <v>2438</v>
      </c>
      <c r="E901" s="5" t="str">
        <f>HYPERLINK("https://www.esco-net.com/wcs/escort/ec/detail?hHinCd=EA981CL-8A","EA981CL-8A")</f>
        <v>EA981CL-8A</v>
      </c>
    </row>
    <row r="902" spans="2:5" x14ac:dyDescent="0.15">
      <c r="B902" s="6" t="s">
        <v>102</v>
      </c>
      <c r="C902" s="6" t="s">
        <v>2439</v>
      </c>
      <c r="D902" s="6" t="s">
        <v>2440</v>
      </c>
      <c r="E902" s="5" t="str">
        <f>HYPERLINK("https://www.esco-net.com/wcs/escort/ec/detail?hHinCd=EA981CM-6A","EA981CM-6A")</f>
        <v>EA981CM-6A</v>
      </c>
    </row>
    <row r="903" spans="2:5" x14ac:dyDescent="0.15">
      <c r="B903" s="6" t="s">
        <v>55</v>
      </c>
      <c r="C903" s="6" t="s">
        <v>2441</v>
      </c>
      <c r="D903" s="6" t="s">
        <v>2442</v>
      </c>
      <c r="E903" s="5" t="str">
        <f>HYPERLINK("https://www.esco-net.com/wcs/escort/ec/detail?hHinCd=EA981FH-1.5A","EA981FH-1.5A")</f>
        <v>EA981FH-1.5A</v>
      </c>
    </row>
    <row r="904" spans="2:5" x14ac:dyDescent="0.15">
      <c r="B904" s="6" t="s">
        <v>55</v>
      </c>
      <c r="C904" s="6" t="s">
        <v>2443</v>
      </c>
      <c r="D904" s="6" t="s">
        <v>2444</v>
      </c>
      <c r="E904" s="5" t="str">
        <f>HYPERLINK("https://www.esco-net.com/wcs/escort/ec/detail?hHinCd=EA981FL-1A","EA981FL-1A")</f>
        <v>EA981FL-1A</v>
      </c>
    </row>
    <row r="905" spans="2:5" x14ac:dyDescent="0.15">
      <c r="B905" s="6" t="s">
        <v>55</v>
      </c>
      <c r="C905" s="6" t="s">
        <v>2445</v>
      </c>
      <c r="D905" s="6" t="s">
        <v>2446</v>
      </c>
      <c r="E905" s="5" t="str">
        <f>HYPERLINK("https://www.esco-net.com/wcs/escort/ec/detail?hHinCd=EA981FM-2.5A","EA981FM-2.5A")</f>
        <v>EA981FM-2.5A</v>
      </c>
    </row>
    <row r="906" spans="2:5" x14ac:dyDescent="0.15">
      <c r="B906" s="6" t="s">
        <v>55</v>
      </c>
      <c r="C906" s="6" t="s">
        <v>2447</v>
      </c>
      <c r="D906" s="6" t="s">
        <v>2448</v>
      </c>
      <c r="E906" s="5" t="str">
        <f>HYPERLINK("https://www.esco-net.com/wcs/escort/ec/detail?hHinCd=EA981FN-2.5A","EA981FN-2.5A")</f>
        <v>EA981FN-2.5A</v>
      </c>
    </row>
    <row r="907" spans="2:5" x14ac:dyDescent="0.15">
      <c r="B907" s="6" t="s">
        <v>248</v>
      </c>
      <c r="C907" s="6" t="s">
        <v>2449</v>
      </c>
      <c r="D907" s="6" t="s">
        <v>2450</v>
      </c>
      <c r="E907" s="5"/>
    </row>
    <row r="908" spans="2:5" x14ac:dyDescent="0.15">
      <c r="B908" s="6" t="s">
        <v>248</v>
      </c>
      <c r="C908" s="6" t="s">
        <v>2451</v>
      </c>
      <c r="D908" s="6" t="s">
        <v>2452</v>
      </c>
      <c r="E908" s="5"/>
    </row>
    <row r="909" spans="2:5" x14ac:dyDescent="0.15">
      <c r="B909" s="6" t="s">
        <v>2453</v>
      </c>
      <c r="C909" s="6" t="s">
        <v>2454</v>
      </c>
      <c r="D909" s="6" t="s">
        <v>2455</v>
      </c>
      <c r="E909" s="5"/>
    </row>
    <row r="910" spans="2:5" x14ac:dyDescent="0.15">
      <c r="B910" s="6" t="s">
        <v>2453</v>
      </c>
      <c r="C910" s="6" t="s">
        <v>2456</v>
      </c>
      <c r="D910" s="6" t="s">
        <v>2457</v>
      </c>
      <c r="E910" s="5"/>
    </row>
    <row r="911" spans="2:5" x14ac:dyDescent="0.15">
      <c r="B911" s="6" t="s">
        <v>2458</v>
      </c>
      <c r="C911" s="6" t="s">
        <v>2459</v>
      </c>
      <c r="D911" s="6" t="s">
        <v>2460</v>
      </c>
      <c r="E911" s="5" t="str">
        <f>HYPERLINK("https://www.esco-net.com/wcs/escort/ec/detail?hHinCd=EA987FV-2.5A","EA987FV-2.5A")</f>
        <v>EA987FV-2.5A</v>
      </c>
    </row>
    <row r="912" spans="2:5" x14ac:dyDescent="0.15">
      <c r="B912" s="6" t="s">
        <v>2461</v>
      </c>
      <c r="C912" s="6" t="s">
        <v>2462</v>
      </c>
      <c r="D912" s="6" t="s">
        <v>2463</v>
      </c>
      <c r="E912" s="5" t="str">
        <f>HYPERLINK("https://www.esco-net.com/wcs/escort/ec/detail?hHinCd=EA987GH-7B","EA987GH-7B")</f>
        <v>EA987GH-7B</v>
      </c>
    </row>
    <row r="913" spans="2:5" x14ac:dyDescent="0.15">
      <c r="B913" s="6" t="s">
        <v>56</v>
      </c>
      <c r="C913" s="6" t="s">
        <v>2464</v>
      </c>
      <c r="D913" s="6" t="s">
        <v>2465</v>
      </c>
      <c r="E913" s="5" t="str">
        <f>HYPERLINK("https://www.esco-net.com/wcs/escort/ec/detail?hHinCd=EA638NC-10","EA638NC-10")</f>
        <v>EA638NC-10</v>
      </c>
    </row>
    <row r="914" spans="2:5" x14ac:dyDescent="0.15">
      <c r="B914" s="6" t="s">
        <v>56</v>
      </c>
      <c r="C914" s="6" t="s">
        <v>2466</v>
      </c>
      <c r="D914" s="6" t="s">
        <v>2467</v>
      </c>
      <c r="E914" s="5" t="str">
        <f>HYPERLINK("https://www.esco-net.com/wcs/escort/ec/detail?hHinCd=EA638NC-12","EA638NC-12")</f>
        <v>EA638NC-12</v>
      </c>
    </row>
    <row r="915" spans="2:5" x14ac:dyDescent="0.15">
      <c r="B915" s="6" t="s">
        <v>57</v>
      </c>
      <c r="C915" s="6" t="s">
        <v>2468</v>
      </c>
      <c r="D915" s="6" t="s">
        <v>2469</v>
      </c>
      <c r="E915" s="5" t="str">
        <f>HYPERLINK("https://www.esco-net.com/wcs/escort/ec/detail?hHinCd=EA638KJ-9","EA638KJ-9")</f>
        <v>EA638KJ-9</v>
      </c>
    </row>
    <row r="916" spans="2:5" x14ac:dyDescent="0.15">
      <c r="B916" s="6" t="s">
        <v>58</v>
      </c>
      <c r="C916" s="6" t="s">
        <v>2470</v>
      </c>
      <c r="D916" s="6" t="s">
        <v>2471</v>
      </c>
      <c r="E916" s="5" t="str">
        <f>HYPERLINK("https://www.esco-net.com/wcs/escort/ec/detail?hHinCd=EA638BT-35","EA638BT-35")</f>
        <v>EA638BT-35</v>
      </c>
    </row>
    <row r="917" spans="2:5" x14ac:dyDescent="0.15">
      <c r="B917" s="6" t="s">
        <v>2472</v>
      </c>
      <c r="C917" s="6" t="s">
        <v>2473</v>
      </c>
      <c r="D917" s="6" t="s">
        <v>2474</v>
      </c>
      <c r="E917" s="5" t="str">
        <f>HYPERLINK("https://www.esco-net.com/wcs/escort/ec/detail?hHinCd=EA638SS-33","EA638SS-33")</f>
        <v>EA638SS-33</v>
      </c>
    </row>
    <row r="918" spans="2:5" x14ac:dyDescent="0.15">
      <c r="B918" s="6" t="s">
        <v>249</v>
      </c>
      <c r="C918" s="6" t="s">
        <v>2475</v>
      </c>
      <c r="D918" s="6" t="s">
        <v>2476</v>
      </c>
      <c r="E918" s="5" t="str">
        <f>HYPERLINK("https://www.esco-net.com/wcs/escort/ec/detail?hHinCd=EA903AG-80A","EA903AG-80A")</f>
        <v>EA903AG-80A</v>
      </c>
    </row>
    <row r="919" spans="2:5" x14ac:dyDescent="0.15">
      <c r="B919" s="6" t="s">
        <v>2477</v>
      </c>
      <c r="C919" s="6" t="s">
        <v>2478</v>
      </c>
      <c r="D919" s="6" t="s">
        <v>2479</v>
      </c>
      <c r="E919" s="5" t="str">
        <f>HYPERLINK("https://www.esco-net.com/wcs/escort/ec/detail?hHinCd=EA903XC-120","EA903XC-120")</f>
        <v>EA903XC-120</v>
      </c>
    </row>
    <row r="920" spans="2:5" x14ac:dyDescent="0.15">
      <c r="B920" s="6" t="s">
        <v>2477</v>
      </c>
      <c r="C920" s="6" t="s">
        <v>2480</v>
      </c>
      <c r="D920" s="6" t="s">
        <v>2481</v>
      </c>
      <c r="E920" s="5" t="str">
        <f>HYPERLINK("https://www.esco-net.com/wcs/escort/ec/detail?hHinCd=EA905EB-90","EA905EB-90")</f>
        <v>EA905EB-90</v>
      </c>
    </row>
    <row r="921" spans="2:5" x14ac:dyDescent="0.15">
      <c r="B921" s="6" t="s">
        <v>59</v>
      </c>
      <c r="C921" s="6" t="s">
        <v>2482</v>
      </c>
      <c r="D921" s="6" t="s">
        <v>2483</v>
      </c>
      <c r="E921" s="5"/>
    </row>
    <row r="922" spans="2:5" x14ac:dyDescent="0.15">
      <c r="B922" s="6" t="s">
        <v>2484</v>
      </c>
      <c r="C922" s="6" t="s">
        <v>2485</v>
      </c>
      <c r="D922" s="6" t="s">
        <v>2486</v>
      </c>
      <c r="E922" s="5" t="str">
        <f>HYPERLINK("https://www.esco-net.com/wcs/escort/ec/detail?hHinCd=EA903AZ-1B","EA903AZ-1B")</f>
        <v>EA903AZ-1B</v>
      </c>
    </row>
    <row r="923" spans="2:5" x14ac:dyDescent="0.15">
      <c r="B923" s="6" t="s">
        <v>2484</v>
      </c>
      <c r="C923" s="6" t="s">
        <v>2487</v>
      </c>
      <c r="D923" s="6" t="s">
        <v>2488</v>
      </c>
      <c r="E923" s="5" t="str">
        <f>HYPERLINK("https://www.esco-net.com/wcs/escort/ec/detail?hHinCd=EA905DG-3A","EA905DG-3A")</f>
        <v>EA905DG-3A</v>
      </c>
    </row>
    <row r="924" spans="2:5" x14ac:dyDescent="0.15">
      <c r="B924" s="6" t="s">
        <v>60</v>
      </c>
      <c r="C924" s="6" t="s">
        <v>2489</v>
      </c>
      <c r="D924" s="6" t="s">
        <v>2490</v>
      </c>
      <c r="E924" s="5"/>
    </row>
    <row r="925" spans="2:5" x14ac:dyDescent="0.15">
      <c r="B925" s="6" t="s">
        <v>60</v>
      </c>
      <c r="C925" s="6" t="s">
        <v>2491</v>
      </c>
      <c r="D925" s="6" t="s">
        <v>2492</v>
      </c>
      <c r="E925" s="5" t="str">
        <f>HYPERLINK("https://www.esco-net.com/wcs/escort/ec/detail?hHinCd=EA912MJ-11","EA912MJ-11")</f>
        <v>EA912MJ-11</v>
      </c>
    </row>
    <row r="926" spans="2:5" x14ac:dyDescent="0.15">
      <c r="B926" s="6" t="s">
        <v>2493</v>
      </c>
      <c r="C926" s="6" t="s">
        <v>2494</v>
      </c>
      <c r="D926" s="6" t="s">
        <v>2495</v>
      </c>
      <c r="E926" s="5"/>
    </row>
    <row r="927" spans="2:5" x14ac:dyDescent="0.15">
      <c r="B927" s="6" t="s">
        <v>2493</v>
      </c>
      <c r="C927" s="6" t="s">
        <v>2496</v>
      </c>
      <c r="D927" s="6" t="s">
        <v>2497</v>
      </c>
      <c r="E927" s="5"/>
    </row>
    <row r="928" spans="2:5" x14ac:dyDescent="0.15">
      <c r="B928" s="6" t="s">
        <v>250</v>
      </c>
      <c r="C928" s="6" t="s">
        <v>2498</v>
      </c>
      <c r="D928" s="6" t="s">
        <v>2499</v>
      </c>
      <c r="E928" s="5" t="str">
        <f>HYPERLINK("https://www.esco-net.com/wcs/escort/ec/detail?hHinCd=EA736B-1","EA736B-1")</f>
        <v>EA736B-1</v>
      </c>
    </row>
    <row r="929" spans="2:5" x14ac:dyDescent="0.15">
      <c r="B929" s="6" t="s">
        <v>61</v>
      </c>
      <c r="C929" s="6" t="s">
        <v>2500</v>
      </c>
      <c r="D929" s="6" t="s">
        <v>2501</v>
      </c>
      <c r="E929" s="5" t="str">
        <f>HYPERLINK("https://www.esco-net.com/wcs/escort/ec/detail?hHinCd=EA762AD-8","EA762AD-8")</f>
        <v>EA762AD-8</v>
      </c>
    </row>
    <row r="930" spans="2:5" x14ac:dyDescent="0.15">
      <c r="B930" s="6" t="s">
        <v>61</v>
      </c>
      <c r="C930" s="6" t="s">
        <v>2502</v>
      </c>
      <c r="D930" s="6" t="s">
        <v>2503</v>
      </c>
      <c r="E930" s="5" t="str">
        <f>HYPERLINK("https://www.esco-net.com/wcs/escort/ec/detail?hHinCd=EA762EC-101","EA762EC-101")</f>
        <v>EA762EC-101</v>
      </c>
    </row>
    <row r="931" spans="2:5" x14ac:dyDescent="0.15">
      <c r="B931" s="6" t="s">
        <v>2504</v>
      </c>
      <c r="C931" s="6" t="s">
        <v>2505</v>
      </c>
      <c r="D931" s="6" t="s">
        <v>2506</v>
      </c>
      <c r="E931" s="5" t="str">
        <f>HYPERLINK("https://www.esco-net.com/wcs/escort/ec/detail?hHinCd=EA762EB-37","EA762EB-37")</f>
        <v>EA762EB-37</v>
      </c>
    </row>
    <row r="932" spans="2:5" x14ac:dyDescent="0.15">
      <c r="B932" s="6" t="s">
        <v>251</v>
      </c>
      <c r="C932" s="6" t="s">
        <v>2507</v>
      </c>
      <c r="D932" s="6" t="s">
        <v>2508</v>
      </c>
      <c r="E932" s="5" t="str">
        <f>HYPERLINK("https://www.esco-net.com/wcs/escort/ec/detail?hHinCd=EA720YW-20","EA720YW-20")</f>
        <v>EA720YW-20</v>
      </c>
    </row>
    <row r="933" spans="2:5" x14ac:dyDescent="0.15">
      <c r="B933" s="6" t="s">
        <v>251</v>
      </c>
      <c r="C933" s="6" t="s">
        <v>2509</v>
      </c>
      <c r="D933" s="6" t="s">
        <v>2510</v>
      </c>
      <c r="E933" s="5" t="str">
        <f>HYPERLINK("https://www.esco-net.com/wcs/escort/ec/detail?hHinCd=EA720YW-120","EA720YW-120")</f>
        <v>EA720YW-120</v>
      </c>
    </row>
    <row r="934" spans="2:5" x14ac:dyDescent="0.15">
      <c r="B934" s="6" t="s">
        <v>2511</v>
      </c>
      <c r="C934" s="6" t="s">
        <v>2512</v>
      </c>
      <c r="D934" s="6" t="s">
        <v>2513</v>
      </c>
      <c r="E934" s="5" t="str">
        <f>HYPERLINK("https://www.esco-net.com/wcs/escort/ec/detail?hHinCd=EA765MA-92","EA765MA-92")</f>
        <v>EA765MA-92</v>
      </c>
    </row>
    <row r="935" spans="2:5" x14ac:dyDescent="0.15">
      <c r="B935" s="6" t="s">
        <v>2511</v>
      </c>
      <c r="C935" s="6" t="s">
        <v>2514</v>
      </c>
      <c r="D935" s="6" t="s">
        <v>2515</v>
      </c>
      <c r="E935" s="5" t="str">
        <f>HYPERLINK("https://www.esco-net.com/wcs/escort/ec/detail?hHinCd=EA765MB-112","EA765MB-112")</f>
        <v>EA765MB-112</v>
      </c>
    </row>
    <row r="936" spans="2:5" x14ac:dyDescent="0.15">
      <c r="B936" s="6" t="s">
        <v>2516</v>
      </c>
      <c r="C936" s="6" t="s">
        <v>2517</v>
      </c>
      <c r="D936" s="6" t="s">
        <v>2518</v>
      </c>
      <c r="E936" s="5" t="str">
        <f>HYPERLINK("https://www.esco-net.com/wcs/escort/ec/detail?hHinCd=EA762HC-27","EA762HC-27")</f>
        <v>EA762HC-27</v>
      </c>
    </row>
    <row r="937" spans="2:5" x14ac:dyDescent="0.15">
      <c r="B937" s="6" t="s">
        <v>2516</v>
      </c>
      <c r="C937" s="6" t="s">
        <v>2519</v>
      </c>
      <c r="D937" s="6" t="s">
        <v>2520</v>
      </c>
      <c r="E937" s="5"/>
    </row>
    <row r="938" spans="2:5" x14ac:dyDescent="0.15">
      <c r="B938" s="6" t="s">
        <v>2521</v>
      </c>
      <c r="C938" s="6" t="s">
        <v>2522</v>
      </c>
      <c r="D938" s="6" t="s">
        <v>2523</v>
      </c>
      <c r="E938" s="5" t="str">
        <f>HYPERLINK("https://www.esco-net.com/wcs/escort/ec/detail?hHinCd=EA762MD-16","EA762MD-16")</f>
        <v>EA762MD-16</v>
      </c>
    </row>
    <row r="939" spans="2:5" x14ac:dyDescent="0.15">
      <c r="B939" s="6" t="s">
        <v>2524</v>
      </c>
      <c r="C939" s="6" t="s">
        <v>2525</v>
      </c>
      <c r="D939" s="6" t="s">
        <v>2526</v>
      </c>
      <c r="E939" s="5"/>
    </row>
    <row r="940" spans="2:5" x14ac:dyDescent="0.15">
      <c r="B940" s="6" t="s">
        <v>2527</v>
      </c>
      <c r="C940" s="6" t="s">
        <v>2528</v>
      </c>
      <c r="D940" s="6" t="s">
        <v>2529</v>
      </c>
      <c r="E940" s="5" t="str">
        <f>HYPERLINK("https://www.esco-net.com/wcs/escort/ec/detail?hHinCd=EA761LP-142","EA761LP-142")</f>
        <v>EA761LP-142</v>
      </c>
    </row>
    <row r="941" spans="2:5" x14ac:dyDescent="0.15">
      <c r="B941" s="6" t="s">
        <v>2530</v>
      </c>
      <c r="C941" s="6" t="s">
        <v>2531</v>
      </c>
      <c r="D941" s="6" t="s">
        <v>2532</v>
      </c>
      <c r="E941" s="5" t="str">
        <f>HYPERLINK("https://www.esco-net.com/wcs/escort/ec/detail?hHinCd=EA762CJ-38","EA762CJ-38")</f>
        <v>EA762CJ-38</v>
      </c>
    </row>
    <row r="942" spans="2:5" x14ac:dyDescent="0.15">
      <c r="B942" s="6" t="s">
        <v>62</v>
      </c>
      <c r="C942" s="6" t="s">
        <v>2533</v>
      </c>
      <c r="D942" s="6" t="s">
        <v>2534</v>
      </c>
      <c r="E942" s="5" t="str">
        <f>HYPERLINK("https://www.esco-net.com/wcs/escort/ec/detail?hHinCd=EA762FA-13A","EA762FA-13A")</f>
        <v>EA762FA-13A</v>
      </c>
    </row>
    <row r="943" spans="2:5" x14ac:dyDescent="0.15">
      <c r="B943" s="6" t="s">
        <v>2535</v>
      </c>
      <c r="C943" s="6" t="s">
        <v>2536</v>
      </c>
      <c r="D943" s="6" t="s">
        <v>2537</v>
      </c>
      <c r="E943" s="5" t="str">
        <f>HYPERLINK("https://www.esco-net.com/wcs/escort/ec/detail?hHinCd=EA762FG-192","EA762FG-192")</f>
        <v>EA762FG-192</v>
      </c>
    </row>
    <row r="944" spans="2:5" x14ac:dyDescent="0.15">
      <c r="B944" s="6" t="s">
        <v>252</v>
      </c>
      <c r="C944" s="6" t="s">
        <v>2538</v>
      </c>
      <c r="D944" s="6" t="s">
        <v>2539</v>
      </c>
      <c r="E944" s="5" t="str">
        <f>HYPERLINK("https://www.esco-net.com/wcs/escort/ec/detail?hHinCd=EA762DA-134","EA762DA-134")</f>
        <v>EA762DA-134</v>
      </c>
    </row>
    <row r="945" spans="2:5" x14ac:dyDescent="0.15">
      <c r="B945" s="6" t="s">
        <v>2540</v>
      </c>
      <c r="C945" s="6" t="s">
        <v>2541</v>
      </c>
      <c r="D945" s="6" t="s">
        <v>2542</v>
      </c>
      <c r="E945" s="5" t="str">
        <f>HYPERLINK("https://www.esco-net.com/wcs/escort/ec/detail?hHinCd=EA762CF-52","EA762CF-52")</f>
        <v>EA762CF-52</v>
      </c>
    </row>
    <row r="946" spans="2:5" x14ac:dyDescent="0.15">
      <c r="B946" s="6" t="s">
        <v>2540</v>
      </c>
      <c r="C946" s="6" t="s">
        <v>2543</v>
      </c>
      <c r="D946" s="6" t="s">
        <v>2544</v>
      </c>
      <c r="E946" s="5" t="str">
        <f>HYPERLINK("https://www.esco-net.com/wcs/escort/ec/detail?hHinCd=EA762CW-32","EA762CW-32")</f>
        <v>EA762CW-32</v>
      </c>
    </row>
    <row r="947" spans="2:5" x14ac:dyDescent="0.15">
      <c r="B947" s="6" t="s">
        <v>2540</v>
      </c>
      <c r="C947" s="6" t="s">
        <v>2545</v>
      </c>
      <c r="D947" s="6" t="s">
        <v>2546</v>
      </c>
      <c r="E947" s="5" t="str">
        <f>HYPERLINK("https://www.esco-net.com/wcs/escort/ec/detail?hHinCd=EA762CW-51","EA762CW-51")</f>
        <v>EA762CW-51</v>
      </c>
    </row>
    <row r="948" spans="2:5" x14ac:dyDescent="0.15">
      <c r="B948" s="6" t="s">
        <v>2540</v>
      </c>
      <c r="C948" s="6" t="s">
        <v>2547</v>
      </c>
      <c r="D948" s="6" t="s">
        <v>2548</v>
      </c>
      <c r="E948" s="5" t="str">
        <f>HYPERLINK("https://www.esco-net.com/wcs/escort/ec/detail?hHinCd=EA762DA-172","EA762DA-172")</f>
        <v>EA762DA-172</v>
      </c>
    </row>
    <row r="949" spans="2:5" x14ac:dyDescent="0.15">
      <c r="B949" s="6" t="s">
        <v>2549</v>
      </c>
      <c r="C949" s="6" t="s">
        <v>2550</v>
      </c>
      <c r="D949" s="6" t="s">
        <v>2551</v>
      </c>
      <c r="E949" s="5"/>
    </row>
    <row r="950" spans="2:5" x14ac:dyDescent="0.15">
      <c r="B950" s="6" t="s">
        <v>253</v>
      </c>
      <c r="C950" s="6" t="s">
        <v>2552</v>
      </c>
      <c r="D950" s="6" t="s">
        <v>2553</v>
      </c>
      <c r="E950" s="5" t="str">
        <f>HYPERLINK("https://www.esco-net.com/wcs/escort/ec/detail?hHinCd=EA762CC-14","EA762CC-14")</f>
        <v>EA762CC-14</v>
      </c>
    </row>
    <row r="951" spans="2:5" x14ac:dyDescent="0.15">
      <c r="B951" s="6" t="s">
        <v>254</v>
      </c>
      <c r="C951" s="6" t="s">
        <v>2554</v>
      </c>
      <c r="D951" s="6" t="s">
        <v>2555</v>
      </c>
      <c r="E951" s="5" t="str">
        <f>HYPERLINK("https://www.esco-net.com/wcs/escort/ec/detail?hHinCd=EA762CB-181","EA762CB-181")</f>
        <v>EA762CB-181</v>
      </c>
    </row>
    <row r="952" spans="2:5" x14ac:dyDescent="0.15">
      <c r="B952" s="6" t="s">
        <v>254</v>
      </c>
      <c r="C952" s="6" t="s">
        <v>2556</v>
      </c>
      <c r="D952" s="6" t="s">
        <v>2557</v>
      </c>
      <c r="E952" s="5"/>
    </row>
    <row r="953" spans="2:5" x14ac:dyDescent="0.15">
      <c r="B953" s="6" t="s">
        <v>2558</v>
      </c>
      <c r="C953" s="6" t="s">
        <v>2559</v>
      </c>
      <c r="D953" s="6" t="s">
        <v>2560</v>
      </c>
      <c r="E953" s="5" t="str">
        <f>HYPERLINK("https://www.esco-net.com/wcs/escort/ec/detail?hHinCd=EA762CF-476","EA762CF-476")</f>
        <v>EA762CF-476</v>
      </c>
    </row>
    <row r="954" spans="2:5" x14ac:dyDescent="0.15">
      <c r="B954" s="6" t="s">
        <v>2558</v>
      </c>
      <c r="C954" s="6" t="s">
        <v>2561</v>
      </c>
      <c r="D954" s="6" t="s">
        <v>2562</v>
      </c>
      <c r="E954" s="5" t="str">
        <f>HYPERLINK("https://www.esco-net.com/wcs/escort/ec/detail?hHinCd=EA927AS-2","EA927AS-2")</f>
        <v>EA927AS-2</v>
      </c>
    </row>
    <row r="955" spans="2:5" x14ac:dyDescent="0.15">
      <c r="B955" s="6" t="s">
        <v>2558</v>
      </c>
      <c r="C955" s="6" t="s">
        <v>2563</v>
      </c>
      <c r="D955" s="6" t="s">
        <v>2564</v>
      </c>
      <c r="E955" s="5" t="str">
        <f>HYPERLINK("https://www.esco-net.com/wcs/escort/ec/detail?hHinCd=EA927AS-23A","EA927AS-23A")</f>
        <v>EA927AS-23A</v>
      </c>
    </row>
    <row r="956" spans="2:5" x14ac:dyDescent="0.15">
      <c r="B956" s="6" t="s">
        <v>63</v>
      </c>
      <c r="C956" s="6" t="s">
        <v>2565</v>
      </c>
      <c r="D956" s="6" t="s">
        <v>2566</v>
      </c>
      <c r="E956" s="5"/>
    </row>
    <row r="957" spans="2:5" x14ac:dyDescent="0.15">
      <c r="B957" s="6" t="s">
        <v>2567</v>
      </c>
      <c r="C957" s="6" t="s">
        <v>2568</v>
      </c>
      <c r="D957" s="6" t="s">
        <v>2569</v>
      </c>
      <c r="E957" s="5"/>
    </row>
    <row r="958" spans="2:5" x14ac:dyDescent="0.15">
      <c r="B958" s="6" t="s">
        <v>2567</v>
      </c>
      <c r="C958" s="6" t="s">
        <v>2570</v>
      </c>
      <c r="D958" s="6" t="s">
        <v>2571</v>
      </c>
      <c r="E958" s="5"/>
    </row>
    <row r="959" spans="2:5" x14ac:dyDescent="0.15">
      <c r="B959" s="6" t="s">
        <v>2572</v>
      </c>
      <c r="C959" s="6" t="s">
        <v>2573</v>
      </c>
      <c r="D959" s="6" t="s">
        <v>2574</v>
      </c>
      <c r="E959" s="5" t="str">
        <f>HYPERLINK("https://www.esco-net.com/wcs/escort/ec/detail?hHinCd=EA762GA-176","EA762GA-176")</f>
        <v>EA762GA-176</v>
      </c>
    </row>
    <row r="960" spans="2:5" x14ac:dyDescent="0.15">
      <c r="B960" s="6" t="s">
        <v>255</v>
      </c>
      <c r="C960" s="6" t="s">
        <v>2575</v>
      </c>
      <c r="D960" s="6" t="s">
        <v>2576</v>
      </c>
      <c r="E960" s="5"/>
    </row>
    <row r="961" spans="2:5" x14ac:dyDescent="0.15">
      <c r="B961" s="6" t="s">
        <v>2577</v>
      </c>
      <c r="C961" s="6" t="s">
        <v>2578</v>
      </c>
      <c r="D961" s="6" t="s">
        <v>2579</v>
      </c>
      <c r="E961" s="5" t="str">
        <f>HYPERLINK("https://www.esco-net.com/wcs/escort/ec/detail?hHinCd=EA762FA-251","EA762FA-251")</f>
        <v>EA762FA-251</v>
      </c>
    </row>
    <row r="962" spans="2:5" x14ac:dyDescent="0.15">
      <c r="B962" s="6" t="s">
        <v>2580</v>
      </c>
      <c r="C962" s="6" t="s">
        <v>2581</v>
      </c>
      <c r="D962" s="6" t="s">
        <v>2582</v>
      </c>
      <c r="E962" s="5" t="str">
        <f>HYPERLINK("https://www.esco-net.com/wcs/escort/ec/detail?hHinCd=EA954TD-124","EA954TD-124")</f>
        <v>EA954TD-124</v>
      </c>
    </row>
    <row r="963" spans="2:5" x14ac:dyDescent="0.15">
      <c r="B963" s="6" t="s">
        <v>256</v>
      </c>
      <c r="C963" s="6" t="s">
        <v>2583</v>
      </c>
      <c r="D963" s="6" t="s">
        <v>2584</v>
      </c>
      <c r="E963" s="5" t="str">
        <f>HYPERLINK("https://www.esco-net.com/wcs/escort/ec/detail?hHinCd=EA762CF-331","EA762CF-331")</f>
        <v>EA762CF-331</v>
      </c>
    </row>
    <row r="964" spans="2:5" x14ac:dyDescent="0.15">
      <c r="B964" s="6" t="s">
        <v>2585</v>
      </c>
      <c r="C964" s="6" t="s">
        <v>2586</v>
      </c>
      <c r="D964" s="6" t="s">
        <v>2587</v>
      </c>
      <c r="E964" s="5" t="str">
        <f>HYPERLINK("https://www.esco-net.com/wcs/escort/ec/detail?hHinCd=EA506AJ-22","EA506AJ-22")</f>
        <v>EA506AJ-22</v>
      </c>
    </row>
    <row r="965" spans="2:5" x14ac:dyDescent="0.15">
      <c r="B965" s="6" t="s">
        <v>2585</v>
      </c>
      <c r="C965" s="6" t="s">
        <v>2588</v>
      </c>
      <c r="D965" s="6" t="s">
        <v>2589</v>
      </c>
      <c r="E965" s="5" t="str">
        <f>HYPERLINK("https://www.esco-net.com/wcs/escort/ec/detail?hHinCd=EA506AJ-23","EA506AJ-23")</f>
        <v>EA506AJ-23</v>
      </c>
    </row>
    <row r="966" spans="2:5" x14ac:dyDescent="0.15">
      <c r="B966" s="6" t="s">
        <v>2585</v>
      </c>
      <c r="C966" s="6" t="s">
        <v>2590</v>
      </c>
      <c r="D966" s="6" t="s">
        <v>2591</v>
      </c>
      <c r="E966" s="5" t="str">
        <f>HYPERLINK("https://www.esco-net.com/wcs/escort/ec/detail?hHinCd=EA506AJ-25","EA506AJ-25")</f>
        <v>EA506AJ-25</v>
      </c>
    </row>
    <row r="967" spans="2:5" x14ac:dyDescent="0.15">
      <c r="B967" s="6" t="s">
        <v>2592</v>
      </c>
      <c r="C967" s="6" t="s">
        <v>2593</v>
      </c>
      <c r="D967" s="6" t="s">
        <v>2594</v>
      </c>
      <c r="E967" s="5" t="str">
        <f>HYPERLINK("https://www.esco-net.com/wcs/escort/ec/detail?hHinCd=EA995BB-32B","EA995BB-32B")</f>
        <v>EA995BB-32B</v>
      </c>
    </row>
    <row r="968" spans="2:5" x14ac:dyDescent="0.15">
      <c r="B968" s="6" t="s">
        <v>2595</v>
      </c>
      <c r="C968" s="6" t="s">
        <v>2596</v>
      </c>
      <c r="D968" s="6" t="s">
        <v>2597</v>
      </c>
      <c r="E968" s="5" t="str">
        <f>HYPERLINK("https://www.esco-net.com/wcs/escort/ec/detail?hHinCd=EA761DK-122","EA761DK-122")</f>
        <v>EA761DK-122</v>
      </c>
    </row>
    <row r="969" spans="2:5" x14ac:dyDescent="0.15">
      <c r="B969" s="6" t="s">
        <v>257</v>
      </c>
      <c r="C969" s="6" t="s">
        <v>2598</v>
      </c>
      <c r="D969" s="6" t="s">
        <v>2599</v>
      </c>
      <c r="E969" s="5"/>
    </row>
    <row r="970" spans="2:5" x14ac:dyDescent="0.15">
      <c r="B970" s="6" t="s">
        <v>19</v>
      </c>
      <c r="C970" s="6" t="s">
        <v>2600</v>
      </c>
      <c r="D970" s="6" t="s">
        <v>2601</v>
      </c>
      <c r="E970" s="5" t="str">
        <f>HYPERLINK("https://www.esco-net.com/wcs/escort/ec/detail?hHinCd=EA761LM-62A","EA761LM-62A")</f>
        <v>EA761LM-62A</v>
      </c>
    </row>
    <row r="971" spans="2:5" x14ac:dyDescent="0.15">
      <c r="B971" s="6" t="s">
        <v>19</v>
      </c>
      <c r="C971" s="6" t="s">
        <v>2602</v>
      </c>
      <c r="D971" s="6" t="s">
        <v>2603</v>
      </c>
      <c r="E971" s="5" t="str">
        <f>HYPERLINK("https://www.esco-net.com/wcs/escort/ec/detail?hHinCd=EA761LC-71","EA761LC-71")</f>
        <v>EA761LC-71</v>
      </c>
    </row>
    <row r="972" spans="2:5" x14ac:dyDescent="0.15">
      <c r="B972" s="6" t="s">
        <v>19</v>
      </c>
      <c r="C972" s="6" t="s">
        <v>2604</v>
      </c>
      <c r="D972" s="6" t="s">
        <v>2605</v>
      </c>
      <c r="E972" s="5" t="str">
        <f>HYPERLINK("https://www.esco-net.com/wcs/escort/ec/detail?hHinCd=EA761LC-71","EA761LC-71")</f>
        <v>EA761LC-71</v>
      </c>
    </row>
    <row r="973" spans="2:5" x14ac:dyDescent="0.15">
      <c r="B973" s="6" t="s">
        <v>103</v>
      </c>
      <c r="C973" s="6" t="s">
        <v>2606</v>
      </c>
      <c r="D973" s="6" t="s">
        <v>2607</v>
      </c>
      <c r="E973" s="5" t="str">
        <f>HYPERLINK("https://www.esco-net.com/wcs/escort/ec/detail?hHinCd=EA759PA-36C","EA759PA-36C")</f>
        <v>EA759PA-36C</v>
      </c>
    </row>
    <row r="974" spans="2:5" x14ac:dyDescent="0.15">
      <c r="B974" s="6" t="s">
        <v>103</v>
      </c>
      <c r="C974" s="6" t="s">
        <v>2608</v>
      </c>
      <c r="D974" s="6" t="s">
        <v>2609</v>
      </c>
      <c r="E974" s="5" t="str">
        <f>HYPERLINK("https://www.esco-net.com/wcs/escort/ec/detail?hHinCd=EA759PA-38C","EA759PA-38C")</f>
        <v>EA759PA-38C</v>
      </c>
    </row>
    <row r="975" spans="2:5" x14ac:dyDescent="0.15">
      <c r="B975" s="6" t="s">
        <v>103</v>
      </c>
      <c r="C975" s="6" t="s">
        <v>2610</v>
      </c>
      <c r="D975" s="6" t="s">
        <v>2611</v>
      </c>
      <c r="E975" s="5"/>
    </row>
    <row r="976" spans="2:5" x14ac:dyDescent="0.15">
      <c r="B976" s="6" t="s">
        <v>2612</v>
      </c>
      <c r="C976" s="6" t="s">
        <v>2613</v>
      </c>
      <c r="D976" s="6" t="s">
        <v>2614</v>
      </c>
      <c r="E976" s="5" t="str">
        <f>HYPERLINK("https://www.esco-net.com/wcs/escort/ec/detail?hHinCd=EA764AG-161","EA764AG-161")</f>
        <v>EA764AG-161</v>
      </c>
    </row>
    <row r="977" spans="2:5" x14ac:dyDescent="0.15">
      <c r="B977" s="6" t="s">
        <v>104</v>
      </c>
      <c r="C977" s="6" t="s">
        <v>2615</v>
      </c>
      <c r="D977" s="6" t="s">
        <v>2616</v>
      </c>
      <c r="E977" s="5"/>
    </row>
    <row r="978" spans="2:5" x14ac:dyDescent="0.15">
      <c r="B978" s="6" t="s">
        <v>104</v>
      </c>
      <c r="C978" s="6" t="s">
        <v>2617</v>
      </c>
      <c r="D978" s="6" t="s">
        <v>2618</v>
      </c>
      <c r="E978" s="5" t="str">
        <f>HYPERLINK("https://www.esco-net.com/wcs/escort/ec/detail?hHinCd=EA764AW-4","EA764AW-4")</f>
        <v>EA764AW-4</v>
      </c>
    </row>
    <row r="979" spans="2:5" x14ac:dyDescent="0.15">
      <c r="B979" s="6" t="s">
        <v>2619</v>
      </c>
      <c r="C979" s="6" t="s">
        <v>2620</v>
      </c>
      <c r="D979" s="6" t="s">
        <v>2621</v>
      </c>
      <c r="E979" s="5" t="str">
        <f>HYPERLINK("https://www.esco-net.com/wcs/escort/ec/detail?hHinCd=EA764AB-158","EA764AB-158")</f>
        <v>EA764AB-158</v>
      </c>
    </row>
    <row r="980" spans="2:5" x14ac:dyDescent="0.15">
      <c r="B980" s="6" t="s">
        <v>2619</v>
      </c>
      <c r="C980" s="6" t="s">
        <v>2622</v>
      </c>
      <c r="D980" s="6" t="s">
        <v>2623</v>
      </c>
      <c r="E980" s="5" t="str">
        <f>HYPERLINK("https://www.esco-net.com/wcs/escort/ec/detail?hHinCd=EA764AS-210A","EA764AS-210A")</f>
        <v>EA764AS-210A</v>
      </c>
    </row>
    <row r="981" spans="2:5" x14ac:dyDescent="0.15">
      <c r="B981" s="6" t="s">
        <v>258</v>
      </c>
      <c r="C981" s="6" t="s">
        <v>2624</v>
      </c>
      <c r="D981" s="6" t="s">
        <v>2625</v>
      </c>
      <c r="E981" s="5" t="str">
        <f>HYPERLINK("https://www.esco-net.com/wcs/escort/ec/detail?hHinCd=EA764AG-109A","EA764AG-109A")</f>
        <v>EA764AG-109A</v>
      </c>
    </row>
    <row r="982" spans="2:5" x14ac:dyDescent="0.15">
      <c r="B982" s="6" t="s">
        <v>258</v>
      </c>
      <c r="C982" s="6" t="s">
        <v>2626</v>
      </c>
      <c r="D982" s="6" t="s">
        <v>2627</v>
      </c>
      <c r="E982" s="5" t="str">
        <f>HYPERLINK("https://www.esco-net.com/wcs/escort/ec/detail?hHinCd=EA764AG-236A","EA764AG-236A")</f>
        <v>EA764AG-236A</v>
      </c>
    </row>
    <row r="983" spans="2:5" x14ac:dyDescent="0.15">
      <c r="B983" s="6" t="s">
        <v>2628</v>
      </c>
      <c r="C983" s="6" t="s">
        <v>2629</v>
      </c>
      <c r="D983" s="6" t="s">
        <v>2630</v>
      </c>
      <c r="E983" s="5" t="str">
        <f>HYPERLINK("https://www.esco-net.com/wcs/escort/ec/detail?hHinCd=EA764AS-11C","EA764AS-11C")</f>
        <v>EA764AS-11C</v>
      </c>
    </row>
    <row r="984" spans="2:5" x14ac:dyDescent="0.15">
      <c r="B984" s="6" t="s">
        <v>2628</v>
      </c>
      <c r="C984" s="6" t="s">
        <v>2631</v>
      </c>
      <c r="D984" s="6" t="s">
        <v>2632</v>
      </c>
      <c r="E984" s="5" t="str">
        <f>HYPERLINK("https://www.esco-net.com/wcs/escort/ec/detail?hHinCd=EA764AS-67","EA764AS-67")</f>
        <v>EA764AS-67</v>
      </c>
    </row>
    <row r="985" spans="2:5" x14ac:dyDescent="0.15">
      <c r="B985" s="6" t="s">
        <v>2633</v>
      </c>
      <c r="C985" s="6" t="s">
        <v>2634</v>
      </c>
      <c r="D985" s="6" t="s">
        <v>2635</v>
      </c>
      <c r="E985" s="5" t="str">
        <f>HYPERLINK("https://www.esco-net.com/wcs/escort/ec/detail?hHinCd=EA763BC-53","EA763BC-53")</f>
        <v>EA763BC-53</v>
      </c>
    </row>
    <row r="986" spans="2:5" x14ac:dyDescent="0.15">
      <c r="B986" s="6" t="s">
        <v>2636</v>
      </c>
      <c r="C986" s="6" t="s">
        <v>2637</v>
      </c>
      <c r="D986" s="6" t="s">
        <v>2638</v>
      </c>
      <c r="E986" s="5"/>
    </row>
    <row r="987" spans="2:5" x14ac:dyDescent="0.15">
      <c r="B987" s="6" t="s">
        <v>2639</v>
      </c>
      <c r="C987" s="6" t="s">
        <v>2640</v>
      </c>
      <c r="D987" s="6" t="s">
        <v>2641</v>
      </c>
      <c r="E987" s="5" t="str">
        <f>HYPERLINK("https://www.esco-net.com/wcs/escort/ec/detail?hHinCd=EA764AA-214A","EA764AA-214A")</f>
        <v>EA764AA-214A</v>
      </c>
    </row>
    <row r="988" spans="2:5" x14ac:dyDescent="0.15">
      <c r="B988" s="6" t="s">
        <v>105</v>
      </c>
      <c r="C988" s="6" t="s">
        <v>2642</v>
      </c>
      <c r="D988" s="6" t="s">
        <v>2643</v>
      </c>
      <c r="E988" s="5" t="str">
        <f>HYPERLINK("https://www.esco-net.com/wcs/escort/ec/detail?hHinCd=EA764-118","EA764-118")</f>
        <v>EA764-118</v>
      </c>
    </row>
    <row r="989" spans="2:5" x14ac:dyDescent="0.15">
      <c r="B989" s="6" t="s">
        <v>259</v>
      </c>
      <c r="C989" s="6" t="s">
        <v>2644</v>
      </c>
      <c r="D989" s="6" t="s">
        <v>2645</v>
      </c>
      <c r="E989" s="5" t="str">
        <f>HYPERLINK("https://www.esco-net.com/wcs/escort/ec/detail?hHinCd=EA758YK-627","EA758YK-627")</f>
        <v>EA758YK-627</v>
      </c>
    </row>
    <row r="990" spans="2:5" x14ac:dyDescent="0.15">
      <c r="B990" s="6" t="s">
        <v>260</v>
      </c>
      <c r="C990" s="6" t="s">
        <v>2646</v>
      </c>
      <c r="D990" s="6" t="s">
        <v>2647</v>
      </c>
      <c r="E990" s="5" t="str">
        <f>HYPERLINK("https://www.esco-net.com/wcs/escort/ec/detail?hHinCd=EA764AJ-171A","EA764AJ-171A")</f>
        <v>EA764AJ-171A</v>
      </c>
    </row>
    <row r="991" spans="2:5" x14ac:dyDescent="0.15">
      <c r="B991" s="6" t="s">
        <v>261</v>
      </c>
      <c r="C991" s="6" t="s">
        <v>2648</v>
      </c>
      <c r="D991" s="6" t="s">
        <v>2649</v>
      </c>
      <c r="E991" s="5" t="str">
        <f>HYPERLINK("https://www.esco-net.com/wcs/escort/ec/detail?hHinCd=EA764AC-105A","EA764AC-105A")</f>
        <v>EA764AC-105A</v>
      </c>
    </row>
    <row r="992" spans="2:5" x14ac:dyDescent="0.15">
      <c r="B992" s="6" t="s">
        <v>2650</v>
      </c>
      <c r="C992" s="6" t="s">
        <v>2651</v>
      </c>
      <c r="D992" s="6" t="s">
        <v>2652</v>
      </c>
      <c r="E992" s="5" t="str">
        <f>HYPERLINK("https://www.esco-net.com/wcs/escort/ec/detail?hHinCd=EA764AD-204","EA764AD-204")</f>
        <v>EA764AD-204</v>
      </c>
    </row>
    <row r="993" spans="2:5" x14ac:dyDescent="0.15">
      <c r="B993" s="6" t="s">
        <v>2653</v>
      </c>
      <c r="C993" s="6" t="s">
        <v>2654</v>
      </c>
      <c r="D993" s="6" t="s">
        <v>2655</v>
      </c>
      <c r="E993" s="5" t="str">
        <f>HYPERLINK("https://www.esco-net.com/wcs/escort/ec/detail?hHinCd=EA764AD-85","EA764AD-85")</f>
        <v>EA764AD-85</v>
      </c>
    </row>
    <row r="994" spans="2:5" x14ac:dyDescent="0.15">
      <c r="B994" s="6" t="s">
        <v>2656</v>
      </c>
      <c r="C994" s="6" t="s">
        <v>2657</v>
      </c>
      <c r="D994" s="6" t="s">
        <v>2658</v>
      </c>
      <c r="E994" s="5"/>
    </row>
    <row r="995" spans="2:5" x14ac:dyDescent="0.15">
      <c r="B995" s="6" t="s">
        <v>2659</v>
      </c>
      <c r="C995" s="6" t="s">
        <v>2660</v>
      </c>
      <c r="D995" s="6" t="s">
        <v>2661</v>
      </c>
      <c r="E995" s="5"/>
    </row>
    <row r="996" spans="2:5" x14ac:dyDescent="0.15">
      <c r="B996" s="6" t="s">
        <v>2662</v>
      </c>
      <c r="C996" s="6" t="s">
        <v>2663</v>
      </c>
      <c r="D996" s="6" t="s">
        <v>2664</v>
      </c>
      <c r="E996" s="5"/>
    </row>
    <row r="997" spans="2:5" x14ac:dyDescent="0.15">
      <c r="B997" s="6" t="s">
        <v>2665</v>
      </c>
      <c r="C997" s="6" t="s">
        <v>2666</v>
      </c>
      <c r="D997" s="6" t="s">
        <v>2667</v>
      </c>
      <c r="E997" s="5" t="str">
        <f>HYPERLINK("https://www.esco-net.com/wcs/escort/ec/detail?hHinCd=EA940PM-11","EA940PM-11")</f>
        <v>EA940PM-11</v>
      </c>
    </row>
    <row r="998" spans="2:5" x14ac:dyDescent="0.15">
      <c r="B998" s="6" t="s">
        <v>106</v>
      </c>
      <c r="C998" s="6" t="s">
        <v>2668</v>
      </c>
      <c r="D998" s="6" t="s">
        <v>2669</v>
      </c>
      <c r="E998" s="5" t="str">
        <f>HYPERLINK("https://www.esco-net.com/wcs/escort/ec/detail?hHinCd=EA764BY-38C","EA764BY-38C")</f>
        <v>EA764BY-38C</v>
      </c>
    </row>
    <row r="999" spans="2:5" x14ac:dyDescent="0.15">
      <c r="B999" s="6" t="s">
        <v>2670</v>
      </c>
      <c r="C999" s="6" t="s">
        <v>2671</v>
      </c>
      <c r="D999" s="6" t="s">
        <v>2672</v>
      </c>
      <c r="E999" s="5" t="str">
        <f>HYPERLINK("https://www.esco-net.com/wcs/escort/ec/detail?hHinCd=EA764B-330","EA764B-330")</f>
        <v>EA764B-330</v>
      </c>
    </row>
    <row r="1000" spans="2:5" x14ac:dyDescent="0.15">
      <c r="B1000" s="6" t="s">
        <v>2670</v>
      </c>
      <c r="C1000" s="6" t="s">
        <v>2673</v>
      </c>
      <c r="D1000" s="6" t="s">
        <v>2674</v>
      </c>
      <c r="E1000" s="5" t="str">
        <f>HYPERLINK("https://www.esco-net.com/wcs/escort/ec/detail?hHinCd=EA764B-125","EA764B-125")</f>
        <v>EA764B-125</v>
      </c>
    </row>
    <row r="1001" spans="2:5" x14ac:dyDescent="0.15">
      <c r="B1001" s="6" t="s">
        <v>2670</v>
      </c>
      <c r="C1001" s="6" t="s">
        <v>2675</v>
      </c>
      <c r="D1001" s="6" t="s">
        <v>2676</v>
      </c>
      <c r="E1001" s="5" t="str">
        <f>HYPERLINK("https://www.esco-net.com/wcs/escort/ec/detail?hHinCd=EA764B-130","EA764B-130")</f>
        <v>EA764B-130</v>
      </c>
    </row>
    <row r="1002" spans="2:5" x14ac:dyDescent="0.15">
      <c r="B1002" s="6" t="s">
        <v>2677</v>
      </c>
      <c r="C1002" s="6" t="s">
        <v>2678</v>
      </c>
      <c r="D1002" s="6" t="s">
        <v>2679</v>
      </c>
      <c r="E1002" s="5" t="str">
        <f>HYPERLINK("https://www.esco-net.com/wcs/escort/ec/detail?hHinCd=EA764BB-150","EA764BB-150")</f>
        <v>EA764BB-150</v>
      </c>
    </row>
    <row r="1003" spans="2:5" x14ac:dyDescent="0.15">
      <c r="B1003" s="6" t="s">
        <v>2680</v>
      </c>
      <c r="C1003" s="6" t="s">
        <v>2681</v>
      </c>
      <c r="D1003" s="6" t="s">
        <v>2682</v>
      </c>
      <c r="E1003" s="5" t="str">
        <f>HYPERLINK("https://www.esco-net.com/wcs/escort/ec/detail?hHinCd=EA764AG-6","EA764AG-6")</f>
        <v>EA764AG-6</v>
      </c>
    </row>
    <row r="1004" spans="2:5" x14ac:dyDescent="0.15">
      <c r="B1004" s="6" t="s">
        <v>2680</v>
      </c>
      <c r="C1004" s="6" t="s">
        <v>2683</v>
      </c>
      <c r="D1004" s="6" t="s">
        <v>2684</v>
      </c>
      <c r="E1004" s="5" t="str">
        <f>HYPERLINK("https://www.esco-net.com/wcs/escort/ec/detail?hHinCd=EA764AG-3","EA764AG-3")</f>
        <v>EA764AG-3</v>
      </c>
    </row>
    <row r="1005" spans="2:5" x14ac:dyDescent="0.15">
      <c r="B1005" s="6" t="s">
        <v>262</v>
      </c>
      <c r="C1005" s="6" t="s">
        <v>2685</v>
      </c>
      <c r="D1005" s="6" t="s">
        <v>2686</v>
      </c>
      <c r="E1005" s="5" t="str">
        <f>HYPERLINK("https://www.esco-net.com/wcs/escort/ec/detail?hHinCd=EA954JB-83","EA954JB-83")</f>
        <v>EA954JB-83</v>
      </c>
    </row>
    <row r="1006" spans="2:5" x14ac:dyDescent="0.15">
      <c r="B1006" s="6" t="s">
        <v>262</v>
      </c>
      <c r="C1006" s="6" t="s">
        <v>2687</v>
      </c>
      <c r="D1006" s="6" t="s">
        <v>2688</v>
      </c>
      <c r="E1006" s="5" t="str">
        <f>HYPERLINK("https://www.esco-net.com/wcs/escort/ec/detail?hHinCd=EA954JB-83","EA954JB-83")</f>
        <v>EA954JB-83</v>
      </c>
    </row>
    <row r="1007" spans="2:5" x14ac:dyDescent="0.15">
      <c r="B1007" s="6" t="s">
        <v>263</v>
      </c>
      <c r="C1007" s="6" t="s">
        <v>2689</v>
      </c>
      <c r="D1007" s="6" t="s">
        <v>2690</v>
      </c>
      <c r="E1007" s="5" t="str">
        <f>HYPERLINK("https://www.esco-net.com/wcs/escort/ec/detail?hHinCd=EA920AC-2B","EA920AC-2B")</f>
        <v>EA920AC-2B</v>
      </c>
    </row>
    <row r="1008" spans="2:5" x14ac:dyDescent="0.15">
      <c r="B1008" s="6" t="s">
        <v>263</v>
      </c>
      <c r="C1008" s="6" t="s">
        <v>2691</v>
      </c>
      <c r="D1008" s="6" t="s">
        <v>2692</v>
      </c>
      <c r="E1008" s="5" t="str">
        <f>HYPERLINK("https://www.esco-net.com/wcs/escort/ec/detail?hHinCd=EA928AA-2","EA928AA-2")</f>
        <v>EA928AA-2</v>
      </c>
    </row>
    <row r="1009" spans="2:5" x14ac:dyDescent="0.15">
      <c r="B1009" s="6" t="s">
        <v>2693</v>
      </c>
      <c r="C1009" s="6" t="s">
        <v>2694</v>
      </c>
      <c r="D1009" s="6" t="s">
        <v>2695</v>
      </c>
      <c r="E1009" s="5"/>
    </row>
    <row r="1010" spans="2:5" x14ac:dyDescent="0.15">
      <c r="B1010" s="6" t="s">
        <v>2693</v>
      </c>
      <c r="C1010" s="6" t="s">
        <v>2696</v>
      </c>
      <c r="D1010" s="6" t="s">
        <v>2697</v>
      </c>
      <c r="E1010" s="5"/>
    </row>
    <row r="1011" spans="2:5" x14ac:dyDescent="0.15">
      <c r="B1011" s="6" t="s">
        <v>2693</v>
      </c>
      <c r="C1011" s="6" t="s">
        <v>2698</v>
      </c>
      <c r="D1011" s="6" t="s">
        <v>2699</v>
      </c>
      <c r="E1011" s="5"/>
    </row>
    <row r="1012" spans="2:5" x14ac:dyDescent="0.15">
      <c r="B1012" s="6" t="s">
        <v>2693</v>
      </c>
      <c r="C1012" s="6" t="s">
        <v>2700</v>
      </c>
      <c r="D1012" s="6" t="s">
        <v>2701</v>
      </c>
      <c r="E1012" s="5"/>
    </row>
    <row r="1013" spans="2:5" x14ac:dyDescent="0.15">
      <c r="B1013" s="6" t="s">
        <v>2693</v>
      </c>
      <c r="C1013" s="6" t="s">
        <v>2702</v>
      </c>
      <c r="D1013" s="6" t="s">
        <v>2703</v>
      </c>
      <c r="E1013" s="5"/>
    </row>
    <row r="1014" spans="2:5" x14ac:dyDescent="0.15">
      <c r="B1014" s="6" t="s">
        <v>2704</v>
      </c>
      <c r="C1014" s="6" t="s">
        <v>2705</v>
      </c>
      <c r="D1014" s="6" t="s">
        <v>2706</v>
      </c>
      <c r="E1014" s="5"/>
    </row>
    <row r="1015" spans="2:5" x14ac:dyDescent="0.15">
      <c r="B1015" s="6" t="s">
        <v>2707</v>
      </c>
      <c r="C1015" s="6" t="s">
        <v>2708</v>
      </c>
      <c r="D1015" s="6" t="s">
        <v>2709</v>
      </c>
      <c r="E1015" s="5" t="str">
        <f>HYPERLINK("https://www.esco-net.com/wcs/escort/ec/detail?hHinCd=EA759XA-103","EA759XA-103")</f>
        <v>EA759XA-103</v>
      </c>
    </row>
    <row r="1016" spans="2:5" x14ac:dyDescent="0.15">
      <c r="B1016" s="6" t="s">
        <v>107</v>
      </c>
      <c r="C1016" s="6" t="s">
        <v>2710</v>
      </c>
      <c r="D1016" s="6" t="s">
        <v>2711</v>
      </c>
      <c r="E1016" s="5" t="str">
        <f>HYPERLINK("https://www.esco-net.com/wcs/escort/ec/detail?hHinCd=EA759GV-134","EA759GV-134")</f>
        <v>EA759GV-134</v>
      </c>
    </row>
    <row r="1017" spans="2:5" x14ac:dyDescent="0.15">
      <c r="B1017" s="6" t="s">
        <v>264</v>
      </c>
      <c r="C1017" s="6" t="s">
        <v>2712</v>
      </c>
      <c r="D1017" s="6" t="s">
        <v>2713</v>
      </c>
      <c r="E1017" s="5" t="str">
        <f>HYPERLINK("https://www.esco-net.com/wcs/escort/ec/detail?hHinCd=EA759GK-29G","EA759GK-29G")</f>
        <v>EA759GK-29G</v>
      </c>
    </row>
    <row r="1018" spans="2:5" x14ac:dyDescent="0.15">
      <c r="B1018" s="6" t="s">
        <v>264</v>
      </c>
      <c r="C1018" s="6" t="s">
        <v>2714</v>
      </c>
      <c r="D1018" s="6" t="s">
        <v>2715</v>
      </c>
      <c r="E1018" s="5" t="str">
        <f>HYPERLINK("https://www.esco-net.com/wcs/escort/ec/detail?hHinCd=EA759GS-66C","EA759GS-66C")</f>
        <v>EA759GS-66C</v>
      </c>
    </row>
    <row r="1019" spans="2:5" x14ac:dyDescent="0.15">
      <c r="B1019" s="6" t="s">
        <v>2716</v>
      </c>
      <c r="C1019" s="6" t="s">
        <v>2717</v>
      </c>
      <c r="D1019" s="6" t="s">
        <v>2718</v>
      </c>
      <c r="E1019" s="5" t="str">
        <f>HYPERLINK("https://www.esco-net.com/wcs/escort/ec/detail?hHinCd=EA762EE-97","EA762EE-97")</f>
        <v>EA762EE-97</v>
      </c>
    </row>
    <row r="1020" spans="2:5" x14ac:dyDescent="0.15">
      <c r="B1020" s="6" t="s">
        <v>2719</v>
      </c>
      <c r="C1020" s="6" t="s">
        <v>2720</v>
      </c>
      <c r="D1020" s="6" t="s">
        <v>2721</v>
      </c>
      <c r="E1020" s="5"/>
    </row>
    <row r="1021" spans="2:5" x14ac:dyDescent="0.15">
      <c r="B1021" s="6" t="s">
        <v>2722</v>
      </c>
      <c r="C1021" s="6" t="s">
        <v>2723</v>
      </c>
      <c r="D1021" s="6" t="s">
        <v>2724</v>
      </c>
      <c r="E1021" s="5" t="str">
        <f>HYPERLINK("https://www.esco-net.com/wcs/escort/ec/detail?hHinCd=EA763ZD-95","EA763ZD-95")</f>
        <v>EA763ZD-95</v>
      </c>
    </row>
    <row r="1022" spans="2:5" x14ac:dyDescent="0.15">
      <c r="B1022" s="6" t="s">
        <v>2725</v>
      </c>
      <c r="C1022" s="6" t="s">
        <v>2726</v>
      </c>
      <c r="D1022" s="6" t="s">
        <v>2727</v>
      </c>
      <c r="E1022" s="5" t="str">
        <f>HYPERLINK("https://www.esco-net.com/wcs/escort/ec/detail?hHinCd=EA798CN-16","EA798CN-16")</f>
        <v>EA798CN-16</v>
      </c>
    </row>
    <row r="1023" spans="2:5" x14ac:dyDescent="0.15">
      <c r="B1023" s="6" t="s">
        <v>2728</v>
      </c>
      <c r="C1023" s="6" t="s">
        <v>2729</v>
      </c>
      <c r="D1023" s="6" t="s">
        <v>2730</v>
      </c>
      <c r="E1023" s="5"/>
    </row>
    <row r="1024" spans="2:5" x14ac:dyDescent="0.15">
      <c r="B1024" s="6" t="s">
        <v>2731</v>
      </c>
      <c r="C1024" s="6" t="s">
        <v>2732</v>
      </c>
      <c r="D1024" s="6" t="s">
        <v>2733</v>
      </c>
      <c r="E1024" s="5" t="str">
        <f>HYPERLINK("https://www.esco-net.com/wcs/escort/ec/detail?hHinCd=EA798CA-137","EA798CA-137")</f>
        <v>EA798CA-137</v>
      </c>
    </row>
    <row r="1025" spans="2:5" x14ac:dyDescent="0.15">
      <c r="B1025" s="6" t="s">
        <v>2734</v>
      </c>
      <c r="C1025" s="6" t="s">
        <v>2735</v>
      </c>
      <c r="D1025" s="6" t="s">
        <v>2736</v>
      </c>
      <c r="E1025" s="5" t="str">
        <f>HYPERLINK("https://www.esco-net.com/wcs/escort/ec/detail?hHinCd=EA790MD-2B","EA790MD-2B")</f>
        <v>EA790MD-2B</v>
      </c>
    </row>
    <row r="1026" spans="2:5" x14ac:dyDescent="0.15">
      <c r="B1026" s="6" t="s">
        <v>9</v>
      </c>
      <c r="C1026" s="6" t="s">
        <v>2737</v>
      </c>
      <c r="D1026" s="6" t="s">
        <v>2738</v>
      </c>
      <c r="E1026" s="5" t="str">
        <f>HYPERLINK("https://www.esco-net.com/wcs/escort/ec/detail?hHinCd=EA763CF-18B","EA763CF-18B")</f>
        <v>EA763CF-18B</v>
      </c>
    </row>
    <row r="1027" spans="2:5" x14ac:dyDescent="0.15">
      <c r="B1027" s="6" t="s">
        <v>9</v>
      </c>
      <c r="C1027" s="6" t="s">
        <v>2739</v>
      </c>
      <c r="D1027" s="6" t="s">
        <v>2740</v>
      </c>
      <c r="E1027" s="5" t="str">
        <f>HYPERLINK("https://www.esco-net.com/wcs/escort/ec/detail?hHinCd=EA763CF-25","EA763CF-25")</f>
        <v>EA763CF-25</v>
      </c>
    </row>
    <row r="1028" spans="2:5" x14ac:dyDescent="0.15">
      <c r="B1028" s="6" t="s">
        <v>265</v>
      </c>
      <c r="C1028" s="6" t="s">
        <v>2741</v>
      </c>
      <c r="D1028" s="6" t="s">
        <v>2742</v>
      </c>
      <c r="E1028" s="5" t="str">
        <f>HYPERLINK("https://www.esco-net.com/wcs/escort/ec/detail?hHinCd=EA916X-11B","EA916X-11B")</f>
        <v>EA916X-11B</v>
      </c>
    </row>
    <row r="1029" spans="2:5" x14ac:dyDescent="0.15">
      <c r="B1029" s="6" t="s">
        <v>265</v>
      </c>
      <c r="C1029" s="6" t="s">
        <v>2743</v>
      </c>
      <c r="D1029" s="6" t="s">
        <v>2744</v>
      </c>
      <c r="E1029" s="5" t="str">
        <f>HYPERLINK("https://www.esco-net.com/wcs/escort/ec/detail?hHinCd=EA916X-18","EA916X-18")</f>
        <v>EA916X-18</v>
      </c>
    </row>
    <row r="1030" spans="2:5" x14ac:dyDescent="0.15">
      <c r="B1030" s="6" t="s">
        <v>265</v>
      </c>
      <c r="C1030" s="6" t="s">
        <v>2745</v>
      </c>
      <c r="D1030" s="6" t="s">
        <v>2742</v>
      </c>
      <c r="E1030" s="5" t="str">
        <f>HYPERLINK("https://www.esco-net.com/wcs/escort/ec/detail?hHinCd=EA916X-32B","EA916X-32B")</f>
        <v>EA916X-32B</v>
      </c>
    </row>
    <row r="1031" spans="2:5" x14ac:dyDescent="0.15">
      <c r="B1031" s="6" t="s">
        <v>265</v>
      </c>
      <c r="C1031" s="6" t="s">
        <v>2746</v>
      </c>
      <c r="D1031" s="6" t="s">
        <v>2747</v>
      </c>
      <c r="E1031" s="5" t="str">
        <f>HYPERLINK("https://www.esco-net.com/wcs/escort/ec/detail?hHinCd=EA916X-33B","EA916X-33B")</f>
        <v>EA916X-33B</v>
      </c>
    </row>
    <row r="1032" spans="2:5" x14ac:dyDescent="0.15">
      <c r="B1032" s="6" t="s">
        <v>2748</v>
      </c>
      <c r="C1032" s="6" t="s">
        <v>2749</v>
      </c>
      <c r="D1032" s="6" t="s">
        <v>2750</v>
      </c>
      <c r="E1032" s="5" t="str">
        <f>HYPERLINK("https://www.esco-net.com/wcs/escort/ec/detail?hHinCd=EA763CH-6A","EA763CH-6A")</f>
        <v>EA763CH-6A</v>
      </c>
    </row>
    <row r="1033" spans="2:5" x14ac:dyDescent="0.15">
      <c r="B1033" s="6" t="s">
        <v>2748</v>
      </c>
      <c r="C1033" s="6" t="s">
        <v>2751</v>
      </c>
      <c r="D1033" s="6" t="s">
        <v>2752</v>
      </c>
      <c r="E1033" s="5" t="str">
        <f>HYPERLINK("https://www.esco-net.com/wcs/escort/ec/detail?hHinCd=EA763CS-5B","EA763CS-5B")</f>
        <v>EA763CS-5B</v>
      </c>
    </row>
    <row r="1034" spans="2:5" x14ac:dyDescent="0.15">
      <c r="B1034" s="6" t="s">
        <v>2748</v>
      </c>
      <c r="C1034" s="6" t="s">
        <v>2753</v>
      </c>
      <c r="D1034" s="6" t="s">
        <v>2752</v>
      </c>
      <c r="E1034" s="5" t="str">
        <f>HYPERLINK("https://www.esco-net.com/wcs/escort/ec/detail?hHinCd=EA763CS-6B","EA763CS-6B")</f>
        <v>EA763CS-6B</v>
      </c>
    </row>
    <row r="1035" spans="2:5" x14ac:dyDescent="0.15">
      <c r="B1035" s="6" t="s">
        <v>2754</v>
      </c>
      <c r="C1035" s="6" t="s">
        <v>2755</v>
      </c>
      <c r="D1035" s="6" t="s">
        <v>2756</v>
      </c>
      <c r="E1035" s="5" t="str">
        <f>HYPERLINK("https://www.esco-net.com/wcs/escort/ec/detail?hHinCd=EA759EX-92C","EA759EX-92C")</f>
        <v>EA759EX-92C</v>
      </c>
    </row>
    <row r="1036" spans="2:5" x14ac:dyDescent="0.15">
      <c r="B1036" s="6" t="s">
        <v>2757</v>
      </c>
      <c r="C1036" s="6" t="s">
        <v>2758</v>
      </c>
      <c r="D1036" s="6" t="s">
        <v>2759</v>
      </c>
      <c r="E1036" s="5"/>
    </row>
    <row r="1037" spans="2:5" x14ac:dyDescent="0.15">
      <c r="B1037" s="6" t="s">
        <v>108</v>
      </c>
      <c r="C1037" s="6" t="s">
        <v>2760</v>
      </c>
      <c r="D1037" s="6" t="s">
        <v>2761</v>
      </c>
      <c r="E1037" s="5" t="str">
        <f>HYPERLINK("https://www.esco-net.com/wcs/escort/ec/detail?hHinCd=EA757X-22","EA757X-22")</f>
        <v>EA757X-22</v>
      </c>
    </row>
    <row r="1038" spans="2:5" x14ac:dyDescent="0.15">
      <c r="B1038" s="6" t="s">
        <v>266</v>
      </c>
      <c r="C1038" s="6" t="s">
        <v>2762</v>
      </c>
      <c r="D1038" s="6" t="s">
        <v>2763</v>
      </c>
      <c r="E1038" s="5" t="str">
        <f>HYPERLINK("https://www.esco-net.com/wcs/escort/ec/detail?hHinCd=EA757AF-5","EA757AF-5")</f>
        <v>EA757AF-5</v>
      </c>
    </row>
    <row r="1039" spans="2:5" x14ac:dyDescent="0.15">
      <c r="B1039" s="6" t="s">
        <v>2764</v>
      </c>
      <c r="C1039" s="6" t="s">
        <v>2765</v>
      </c>
      <c r="D1039" s="6" t="s">
        <v>2766</v>
      </c>
      <c r="E1039" s="5"/>
    </row>
    <row r="1040" spans="2:5" x14ac:dyDescent="0.15">
      <c r="B1040" s="6" t="s">
        <v>2764</v>
      </c>
      <c r="C1040" s="6" t="s">
        <v>2767</v>
      </c>
      <c r="D1040" s="6" t="s">
        <v>2768</v>
      </c>
      <c r="E1040" s="5" t="str">
        <f>HYPERLINK("https://www.esco-net.com/wcs/escort/ec/detail?hHinCd=EA954HC-412B","EA954HC-412B")</f>
        <v>EA954HC-412B</v>
      </c>
    </row>
    <row r="1041" spans="2:5" x14ac:dyDescent="0.15">
      <c r="B1041" s="6" t="s">
        <v>109</v>
      </c>
      <c r="C1041" s="6" t="s">
        <v>2769</v>
      </c>
      <c r="D1041" s="6" t="s">
        <v>2770</v>
      </c>
      <c r="E1041" s="5"/>
    </row>
    <row r="1042" spans="2:5" x14ac:dyDescent="0.15">
      <c r="B1042" s="6" t="s">
        <v>2771</v>
      </c>
      <c r="C1042" s="6" t="s">
        <v>2772</v>
      </c>
      <c r="D1042" s="6" t="s">
        <v>2773</v>
      </c>
      <c r="E1042" s="5"/>
    </row>
    <row r="1043" spans="2:5" x14ac:dyDescent="0.15">
      <c r="B1043" s="6" t="s">
        <v>2774</v>
      </c>
      <c r="C1043" s="6" t="s">
        <v>2775</v>
      </c>
      <c r="D1043" s="6" t="s">
        <v>2776</v>
      </c>
      <c r="E1043" s="5" t="str">
        <f>HYPERLINK("https://www.esco-net.com/wcs/escort/ec/detail?hHinCd=EA954HC-5A","EA954HC-5A")</f>
        <v>EA954HC-5A</v>
      </c>
    </row>
    <row r="1044" spans="2:5" x14ac:dyDescent="0.15">
      <c r="B1044" s="6" t="s">
        <v>267</v>
      </c>
      <c r="C1044" s="6" t="s">
        <v>2777</v>
      </c>
      <c r="D1044" s="6" t="s">
        <v>2778</v>
      </c>
      <c r="E1044" s="5" t="str">
        <f>HYPERLINK("https://www.esco-net.com/wcs/escort/ec/detail?hHinCd=EA954HE-31","EA954HE-31")</f>
        <v>EA954HE-31</v>
      </c>
    </row>
    <row r="1045" spans="2:5" x14ac:dyDescent="0.15">
      <c r="B1045" s="6" t="s">
        <v>2779</v>
      </c>
      <c r="C1045" s="6" t="s">
        <v>2780</v>
      </c>
      <c r="D1045" s="6" t="s">
        <v>2781</v>
      </c>
      <c r="E1045" s="5" t="str">
        <f>HYPERLINK("https://www.esco-net.com/wcs/escort/ec/detail?hHinCd=EA954T-62","EA954T-62")</f>
        <v>EA954T-62</v>
      </c>
    </row>
    <row r="1046" spans="2:5" x14ac:dyDescent="0.15">
      <c r="B1046" s="6" t="s">
        <v>2782</v>
      </c>
      <c r="C1046" s="6" t="s">
        <v>2783</v>
      </c>
      <c r="D1046" s="6" t="s">
        <v>2784</v>
      </c>
      <c r="E1046" s="5" t="str">
        <f>HYPERLINK("https://www.esco-net.com/wcs/escort/ec/detail?hHinCd=EA954HC-602","EA954HC-602")</f>
        <v>EA954HC-602</v>
      </c>
    </row>
    <row r="1047" spans="2:5" x14ac:dyDescent="0.15">
      <c r="B1047" s="6" t="s">
        <v>2782</v>
      </c>
      <c r="C1047" s="6" t="s">
        <v>2785</v>
      </c>
      <c r="D1047" s="6" t="s">
        <v>2786</v>
      </c>
      <c r="E1047" s="5"/>
    </row>
    <row r="1048" spans="2:5" x14ac:dyDescent="0.15">
      <c r="B1048" s="6" t="s">
        <v>2787</v>
      </c>
      <c r="C1048" s="6" t="s">
        <v>2788</v>
      </c>
      <c r="D1048" s="6" t="s">
        <v>2789</v>
      </c>
      <c r="E1048" s="5"/>
    </row>
    <row r="1049" spans="2:5" x14ac:dyDescent="0.15">
      <c r="B1049" s="6" t="s">
        <v>2790</v>
      </c>
      <c r="C1049" s="6" t="s">
        <v>2791</v>
      </c>
      <c r="D1049" s="6" t="s">
        <v>2792</v>
      </c>
      <c r="E1049" s="5" t="str">
        <f>HYPERLINK("https://www.esco-net.com/wcs/escort/ec/detail?hHinCd=EA956XB-31","EA956XB-31")</f>
        <v>EA956XB-31</v>
      </c>
    </row>
    <row r="1050" spans="2:5" x14ac:dyDescent="0.15">
      <c r="B1050" s="6" t="s">
        <v>2790</v>
      </c>
      <c r="C1050" s="6" t="s">
        <v>2793</v>
      </c>
      <c r="D1050" s="6" t="s">
        <v>2794</v>
      </c>
      <c r="E1050" s="5" t="str">
        <f>HYPERLINK("https://www.esco-net.com/wcs/escort/ec/detail?hHinCd=EA956XB-39","EA956XB-39")</f>
        <v>EA956XB-39</v>
      </c>
    </row>
    <row r="1051" spans="2:5" x14ac:dyDescent="0.15">
      <c r="B1051" s="6" t="s">
        <v>268</v>
      </c>
      <c r="C1051" s="6" t="s">
        <v>2795</v>
      </c>
      <c r="D1051" s="6" t="s">
        <v>2796</v>
      </c>
      <c r="E1051" s="5" t="str">
        <f>HYPERLINK("https://www.esco-net.com/wcs/escort/ec/detail?hHinCd=EA956XC-71","EA956XC-71")</f>
        <v>EA956XC-71</v>
      </c>
    </row>
    <row r="1052" spans="2:5" x14ac:dyDescent="0.15">
      <c r="B1052" s="6" t="s">
        <v>2797</v>
      </c>
      <c r="C1052" s="6" t="s">
        <v>2798</v>
      </c>
      <c r="D1052" s="6" t="s">
        <v>2799</v>
      </c>
      <c r="E1052" s="5" t="str">
        <f>HYPERLINK("https://www.esco-net.com/wcs/escort/ec/detail?hHinCd=EA956XE-103A","EA956XE-103A")</f>
        <v>EA956XE-103A</v>
      </c>
    </row>
    <row r="1053" spans="2:5" x14ac:dyDescent="0.15">
      <c r="B1053" s="6" t="s">
        <v>2800</v>
      </c>
      <c r="C1053" s="6" t="s">
        <v>2801</v>
      </c>
      <c r="D1053" s="6" t="s">
        <v>2802</v>
      </c>
      <c r="E1053" s="5" t="str">
        <f>HYPERLINK("https://www.esco-net.com/wcs/escort/ec/detail?hHinCd=EA954ES-2A","EA954ES-2A")</f>
        <v>EA954ES-2A</v>
      </c>
    </row>
    <row r="1054" spans="2:5" x14ac:dyDescent="0.15">
      <c r="B1054" s="6" t="s">
        <v>2800</v>
      </c>
      <c r="C1054" s="6" t="s">
        <v>2803</v>
      </c>
      <c r="D1054" s="6" t="s">
        <v>2804</v>
      </c>
      <c r="E1054" s="5" t="str">
        <f>HYPERLINK("https://www.esco-net.com/wcs/escort/ec/detail?hHinCd=EA954ES-3A","EA954ES-3A")</f>
        <v>EA954ES-3A</v>
      </c>
    </row>
    <row r="1055" spans="2:5" x14ac:dyDescent="0.15">
      <c r="B1055" s="6" t="s">
        <v>2805</v>
      </c>
      <c r="C1055" s="6" t="s">
        <v>2806</v>
      </c>
      <c r="D1055" s="6" t="s">
        <v>2807</v>
      </c>
      <c r="E1055" s="5"/>
    </row>
    <row r="1056" spans="2:5" x14ac:dyDescent="0.15">
      <c r="B1056" s="6" t="s">
        <v>269</v>
      </c>
      <c r="C1056" s="6" t="s">
        <v>2808</v>
      </c>
      <c r="D1056" s="6" t="s">
        <v>2809</v>
      </c>
      <c r="E1056" s="5" t="str">
        <f>HYPERLINK("https://www.esco-net.com/wcs/escort/ec/detail?hHinCd=EA956NA-44","EA956NA-44")</f>
        <v>EA956NA-44</v>
      </c>
    </row>
    <row r="1057" spans="2:5" x14ac:dyDescent="0.15">
      <c r="B1057" s="6" t="s">
        <v>110</v>
      </c>
      <c r="C1057" s="6" t="s">
        <v>2810</v>
      </c>
      <c r="D1057" s="6" t="s">
        <v>2811</v>
      </c>
      <c r="E1057" s="5"/>
    </row>
    <row r="1058" spans="2:5" x14ac:dyDescent="0.15">
      <c r="B1058" s="6" t="s">
        <v>110</v>
      </c>
      <c r="C1058" s="6" t="s">
        <v>2812</v>
      </c>
      <c r="D1058" s="6" t="s">
        <v>2813</v>
      </c>
      <c r="E1058" s="5" t="str">
        <f>HYPERLINK("https://www.esco-net.com/wcs/escort/ec/detail?hHinCd=EA954EA-301","EA954EA-301")</f>
        <v>EA954EA-301</v>
      </c>
    </row>
    <row r="1059" spans="2:5" x14ac:dyDescent="0.15">
      <c r="B1059" s="6" t="s">
        <v>110</v>
      </c>
      <c r="C1059" s="6" t="s">
        <v>2814</v>
      </c>
      <c r="D1059" s="6" t="s">
        <v>2815</v>
      </c>
      <c r="E1059" s="5" t="str">
        <f>HYPERLINK("https://www.esco-net.com/wcs/escort/ec/detail?hHinCd=EA954EA-223","EA954EA-223")</f>
        <v>EA954EA-223</v>
      </c>
    </row>
    <row r="1060" spans="2:5" x14ac:dyDescent="0.15">
      <c r="B1060" s="6" t="s">
        <v>110</v>
      </c>
      <c r="C1060" s="6" t="s">
        <v>2816</v>
      </c>
      <c r="D1060" s="6" t="s">
        <v>2817</v>
      </c>
      <c r="E1060" s="5"/>
    </row>
    <row r="1061" spans="2:5" x14ac:dyDescent="0.15">
      <c r="B1061" s="6" t="s">
        <v>2818</v>
      </c>
      <c r="C1061" s="6" t="s">
        <v>2819</v>
      </c>
      <c r="D1061" s="6" t="s">
        <v>2820</v>
      </c>
      <c r="E1061" s="5"/>
    </row>
    <row r="1062" spans="2:5" x14ac:dyDescent="0.15">
      <c r="B1062" s="6" t="s">
        <v>2821</v>
      </c>
      <c r="C1062" s="6" t="s">
        <v>2822</v>
      </c>
      <c r="D1062" s="6" t="s">
        <v>2823</v>
      </c>
      <c r="E1062" s="5" t="str">
        <f>HYPERLINK("https://www.esco-net.com/wcs/escort/ec/detail?hHinCd=EA927-287A","EA927-287A")</f>
        <v>EA927-287A</v>
      </c>
    </row>
    <row r="1063" spans="2:5" x14ac:dyDescent="0.15">
      <c r="B1063" s="6" t="s">
        <v>2821</v>
      </c>
      <c r="C1063" s="6" t="s">
        <v>2824</v>
      </c>
      <c r="D1063" s="6" t="s">
        <v>2825</v>
      </c>
      <c r="E1063" s="5" t="str">
        <f>HYPERLINK("https://www.esco-net.com/wcs/escort/ec/detail?hHinCd=EA927AN-33","EA927AN-33")</f>
        <v>EA927AN-33</v>
      </c>
    </row>
    <row r="1064" spans="2:5" x14ac:dyDescent="0.15">
      <c r="B1064" s="6" t="s">
        <v>2826</v>
      </c>
      <c r="C1064" s="6" t="s">
        <v>2827</v>
      </c>
      <c r="D1064" s="6" t="s">
        <v>2828</v>
      </c>
      <c r="E1064" s="5" t="str">
        <f>HYPERLINK("https://www.esco-net.com/wcs/escort/ec/detail?hHinCd=EA927TC-13","EA927TC-13")</f>
        <v>EA927TC-13</v>
      </c>
    </row>
    <row r="1065" spans="2:5" x14ac:dyDescent="0.15">
      <c r="B1065" s="6" t="s">
        <v>270</v>
      </c>
      <c r="C1065" s="6" t="s">
        <v>2829</v>
      </c>
      <c r="D1065" s="6" t="s">
        <v>2830</v>
      </c>
      <c r="E1065" s="5" t="str">
        <f>HYPERLINK("https://www.esco-net.com/wcs/escort/ec/detail?hHinCd=EA927-97","EA927-97")</f>
        <v>EA927-97</v>
      </c>
    </row>
    <row r="1066" spans="2:5" x14ac:dyDescent="0.15">
      <c r="B1066" s="6" t="s">
        <v>271</v>
      </c>
      <c r="C1066" s="6" t="s">
        <v>2831</v>
      </c>
      <c r="D1066" s="6" t="s">
        <v>2832</v>
      </c>
      <c r="E1066" s="5" t="str">
        <f>HYPERLINK("https://www.esco-net.com/wcs/escort/ec/detail?hHinCd=EA927AM-14","EA927AM-14")</f>
        <v>EA927AM-14</v>
      </c>
    </row>
    <row r="1067" spans="2:5" x14ac:dyDescent="0.15">
      <c r="B1067" s="6" t="s">
        <v>271</v>
      </c>
      <c r="C1067" s="6" t="s">
        <v>2833</v>
      </c>
      <c r="D1067" s="6" t="s">
        <v>2834</v>
      </c>
      <c r="E1067" s="5" t="str">
        <f>HYPERLINK("https://www.esco-net.com/wcs/escort/ec/detail?hHinCd=EA939AG-7A","EA939AG-7A")</f>
        <v>EA939AG-7A</v>
      </c>
    </row>
    <row r="1068" spans="2:5" x14ac:dyDescent="0.15">
      <c r="B1068" s="6" t="s">
        <v>272</v>
      </c>
      <c r="C1068" s="6" t="s">
        <v>2835</v>
      </c>
      <c r="D1068" s="6" t="s">
        <v>2836</v>
      </c>
      <c r="E1068" s="5" t="str">
        <f>HYPERLINK("https://www.esco-net.com/wcs/escort/ec/detail?hHinCd=EA939AG-42","EA939AG-42")</f>
        <v>EA939AG-42</v>
      </c>
    </row>
    <row r="1069" spans="2:5" x14ac:dyDescent="0.15">
      <c r="B1069" s="6" t="s">
        <v>273</v>
      </c>
      <c r="C1069" s="6" t="s">
        <v>2837</v>
      </c>
      <c r="D1069" s="6" t="s">
        <v>2838</v>
      </c>
      <c r="E1069" s="5" t="str">
        <f>HYPERLINK("https://www.esco-net.com/wcs/escort/ec/detail?hHinCd=EA910SA-22","EA910SA-22")</f>
        <v>EA910SA-22</v>
      </c>
    </row>
    <row r="1070" spans="2:5" x14ac:dyDescent="0.15">
      <c r="B1070" s="6" t="s">
        <v>273</v>
      </c>
      <c r="C1070" s="6" t="s">
        <v>2839</v>
      </c>
      <c r="D1070" s="6" t="s">
        <v>2840</v>
      </c>
      <c r="E1070" s="5" t="str">
        <f>HYPERLINK("https://www.esco-net.com/wcs/escort/ec/detail?hHinCd=EA910S-3","EA910S-3")</f>
        <v>EA910S-3</v>
      </c>
    </row>
    <row r="1071" spans="2:5" x14ac:dyDescent="0.15">
      <c r="B1071" s="6" t="s">
        <v>273</v>
      </c>
      <c r="C1071" s="6" t="s">
        <v>2841</v>
      </c>
      <c r="D1071" s="6" t="s">
        <v>2840</v>
      </c>
      <c r="E1071" s="5" t="str">
        <f>HYPERLINK("https://www.esco-net.com/wcs/escort/ec/detail?hHinCd=EA910SA-12","EA910SA-12")</f>
        <v>EA910SA-12</v>
      </c>
    </row>
    <row r="1072" spans="2:5" x14ac:dyDescent="0.15">
      <c r="B1072" s="6" t="s">
        <v>273</v>
      </c>
      <c r="C1072" s="6" t="s">
        <v>2842</v>
      </c>
      <c r="D1072" s="6" t="s">
        <v>2843</v>
      </c>
      <c r="E1072" s="5" t="str">
        <f>HYPERLINK("https://www.esco-net.com/wcs/escort/ec/detail?hHinCd=EA910SW-11","EA910SW-11")</f>
        <v>EA910SW-11</v>
      </c>
    </row>
    <row r="1073" spans="2:5" x14ac:dyDescent="0.15">
      <c r="B1073" s="6" t="s">
        <v>2844</v>
      </c>
      <c r="C1073" s="6" t="s">
        <v>2845</v>
      </c>
      <c r="D1073" s="6" t="s">
        <v>2846</v>
      </c>
      <c r="E1073" s="5" t="str">
        <f>HYPERLINK("https://www.esco-net.com/wcs/escort/ec/detail?hHinCd=EA997RX-171A","EA997RX-171A")</f>
        <v>EA997RX-171A</v>
      </c>
    </row>
    <row r="1074" spans="2:5" x14ac:dyDescent="0.15">
      <c r="B1074" s="6" t="s">
        <v>2847</v>
      </c>
      <c r="C1074" s="6" t="s">
        <v>2848</v>
      </c>
      <c r="D1074" s="6" t="s">
        <v>2849</v>
      </c>
      <c r="E1074" s="5" t="str">
        <f>HYPERLINK("https://www.esco-net.com/wcs/escort/ec/detail?hHinCd=EA758TA-21","EA758TA-21")</f>
        <v>EA758TA-21</v>
      </c>
    </row>
    <row r="1075" spans="2:5" x14ac:dyDescent="0.15">
      <c r="B1075" s="6" t="s">
        <v>274</v>
      </c>
      <c r="C1075" s="6" t="s">
        <v>2850</v>
      </c>
      <c r="D1075" s="6" t="s">
        <v>2851</v>
      </c>
      <c r="E1075" s="5" t="str">
        <f>HYPERLINK("https://www.esco-net.com/wcs/escort/ec/detail?hHinCd=EA758FH-11A","EA758FH-11A")</f>
        <v>EA758FH-11A</v>
      </c>
    </row>
    <row r="1076" spans="2:5" x14ac:dyDescent="0.15">
      <c r="B1076" s="6" t="s">
        <v>2852</v>
      </c>
      <c r="C1076" s="6" t="s">
        <v>2853</v>
      </c>
      <c r="D1076" s="6" t="s">
        <v>2854</v>
      </c>
      <c r="E1076" s="5" t="str">
        <f>HYPERLINK("https://www.esco-net.com/wcs/escort/ec/detail?hHinCd=EA758RX-10B","EA758RX-10B")</f>
        <v>EA758RX-10B</v>
      </c>
    </row>
    <row r="1077" spans="2:5" x14ac:dyDescent="0.15">
      <c r="B1077" s="6" t="s">
        <v>2855</v>
      </c>
      <c r="C1077" s="6" t="s">
        <v>2856</v>
      </c>
      <c r="D1077" s="6" t="s">
        <v>2857</v>
      </c>
      <c r="E1077" s="5" t="str">
        <f>HYPERLINK("https://www.esco-net.com/wcs/escort/ec/detail?hHinCd=EA758SE-6A","EA758SE-6A")</f>
        <v>EA758SE-6A</v>
      </c>
    </row>
    <row r="1078" spans="2:5" x14ac:dyDescent="0.15">
      <c r="B1078" s="6" t="s">
        <v>2858</v>
      </c>
      <c r="C1078" s="6" t="s">
        <v>2859</v>
      </c>
      <c r="D1078" s="6" t="s">
        <v>2860</v>
      </c>
      <c r="E1078" s="5"/>
    </row>
    <row r="1079" spans="2:5" x14ac:dyDescent="0.15">
      <c r="B1079" s="6" t="s">
        <v>2861</v>
      </c>
      <c r="C1079" s="6" t="s">
        <v>2862</v>
      </c>
      <c r="D1079" s="6" t="s">
        <v>2863</v>
      </c>
      <c r="E1079" s="5" t="str">
        <f>HYPERLINK("https://www.esco-net.com/wcs/escort/ec/detail?hHinCd=EA758CV-48","EA758CV-48")</f>
        <v>EA758CV-48</v>
      </c>
    </row>
    <row r="1080" spans="2:5" x14ac:dyDescent="0.15">
      <c r="B1080" s="6" t="s">
        <v>2861</v>
      </c>
      <c r="C1080" s="6" t="s">
        <v>2864</v>
      </c>
      <c r="D1080" s="6" t="s">
        <v>2865</v>
      </c>
      <c r="E1080" s="5"/>
    </row>
    <row r="1081" spans="2:5" x14ac:dyDescent="0.15">
      <c r="B1081" s="6" t="s">
        <v>111</v>
      </c>
      <c r="C1081" s="6" t="s">
        <v>2866</v>
      </c>
      <c r="D1081" s="6" t="s">
        <v>2867</v>
      </c>
      <c r="E1081" s="5"/>
    </row>
    <row r="1082" spans="2:5" x14ac:dyDescent="0.15">
      <c r="B1082" s="6" t="s">
        <v>111</v>
      </c>
      <c r="C1082" s="6" t="s">
        <v>2868</v>
      </c>
      <c r="D1082" s="6" t="s">
        <v>2869</v>
      </c>
      <c r="E1082" s="5"/>
    </row>
    <row r="1083" spans="2:5" x14ac:dyDescent="0.15">
      <c r="B1083" s="6" t="s">
        <v>111</v>
      </c>
      <c r="C1083" s="6" t="s">
        <v>2870</v>
      </c>
      <c r="D1083" s="6" t="s">
        <v>2871</v>
      </c>
      <c r="E1083" s="5" t="str">
        <f>HYPERLINK("https://www.esco-net.com/wcs/escort/ec/detail?hHinCd=EA815LA-21","EA815LA-21")</f>
        <v>EA815LA-21</v>
      </c>
    </row>
    <row r="1084" spans="2:5" x14ac:dyDescent="0.15">
      <c r="B1084" s="6" t="s">
        <v>275</v>
      </c>
      <c r="C1084" s="6" t="s">
        <v>2872</v>
      </c>
      <c r="D1084" s="6" t="s">
        <v>2873</v>
      </c>
      <c r="E1084" s="5" t="str">
        <f>HYPERLINK("https://www.esco-net.com/wcs/escort/ec/detail?hHinCd=EA814EC-56","EA814EC-56")</f>
        <v>EA814EC-56</v>
      </c>
    </row>
    <row r="1085" spans="2:5" x14ac:dyDescent="0.15">
      <c r="B1085" s="6" t="s">
        <v>275</v>
      </c>
      <c r="C1085" s="6" t="s">
        <v>2874</v>
      </c>
      <c r="D1085" s="6" t="s">
        <v>2875</v>
      </c>
      <c r="E1085" s="5" t="str">
        <f>HYPERLINK("https://www.esco-net.com/wcs/escort/ec/detail?hHinCd=EA814EC-51","EA814EC-51")</f>
        <v>EA814EC-51</v>
      </c>
    </row>
    <row r="1086" spans="2:5" x14ac:dyDescent="0.15">
      <c r="B1086" s="6" t="s">
        <v>64</v>
      </c>
      <c r="C1086" s="6" t="s">
        <v>2876</v>
      </c>
      <c r="D1086" s="6" t="s">
        <v>2877</v>
      </c>
      <c r="E1086" s="5" t="str">
        <f>HYPERLINK("https://www.esco-net.com/wcs/escort/ec/detail?hHinCd=EA814EC-38","EA814EC-38")</f>
        <v>EA814EC-38</v>
      </c>
    </row>
    <row r="1087" spans="2:5" x14ac:dyDescent="0.15">
      <c r="B1087" s="6" t="s">
        <v>64</v>
      </c>
      <c r="C1087" s="6" t="s">
        <v>2878</v>
      </c>
      <c r="D1087" s="6" t="s">
        <v>2879</v>
      </c>
      <c r="E1087" s="5"/>
    </row>
    <row r="1088" spans="2:5" x14ac:dyDescent="0.15">
      <c r="B1088" s="6" t="s">
        <v>2880</v>
      </c>
      <c r="C1088" s="6" t="s">
        <v>2881</v>
      </c>
      <c r="D1088" s="6" t="s">
        <v>2882</v>
      </c>
      <c r="E1088" s="5" t="str">
        <f>HYPERLINK("https://www.esco-net.com/wcs/escort/ec/detail?hHinCd=EA814AT-110A","EA814AT-110A")</f>
        <v>EA814AT-110A</v>
      </c>
    </row>
    <row r="1089" spans="2:5" x14ac:dyDescent="0.15">
      <c r="B1089" s="6" t="s">
        <v>2883</v>
      </c>
      <c r="C1089" s="6" t="s">
        <v>2884</v>
      </c>
      <c r="D1089" s="6" t="s">
        <v>2885</v>
      </c>
      <c r="E1089" s="5" t="str">
        <f>HYPERLINK("https://www.esco-net.com/wcs/escort/ec/detail?hHinCd=EA758C-124A","EA758C-124A")</f>
        <v>EA758C-124A</v>
      </c>
    </row>
    <row r="1090" spans="2:5" x14ac:dyDescent="0.15">
      <c r="B1090" s="6" t="s">
        <v>2886</v>
      </c>
      <c r="C1090" s="6" t="s">
        <v>2887</v>
      </c>
      <c r="D1090" s="6" t="s">
        <v>2888</v>
      </c>
      <c r="E1090" s="5" t="str">
        <f>HYPERLINK("https://www.esco-net.com/wcs/escort/ec/detail?hHinCd=EA761XB-69","EA761XB-69")</f>
        <v>EA761XB-69</v>
      </c>
    </row>
    <row r="1091" spans="2:5" x14ac:dyDescent="0.15">
      <c r="B1091" s="6" t="s">
        <v>2889</v>
      </c>
      <c r="C1091" s="6" t="s">
        <v>2890</v>
      </c>
      <c r="D1091" s="6" t="s">
        <v>2891</v>
      </c>
      <c r="E1091" s="5" t="str">
        <f>HYPERLINK("https://www.esco-net.com/wcs/escort/ec/detail?hHinCd=EA815LE-56","EA815LE-56")</f>
        <v>EA815LE-56</v>
      </c>
    </row>
    <row r="1092" spans="2:5" x14ac:dyDescent="0.15">
      <c r="B1092" s="6" t="s">
        <v>2892</v>
      </c>
      <c r="C1092" s="6" t="s">
        <v>2893</v>
      </c>
      <c r="D1092" s="6" t="s">
        <v>2894</v>
      </c>
      <c r="E1092" s="5"/>
    </row>
    <row r="1093" spans="2:5" x14ac:dyDescent="0.15">
      <c r="B1093" s="6" t="s">
        <v>276</v>
      </c>
      <c r="C1093" s="6" t="s">
        <v>2895</v>
      </c>
      <c r="D1093" s="6" t="s">
        <v>2896</v>
      </c>
      <c r="E1093" s="5" t="str">
        <f>HYPERLINK("https://www.esco-net.com/wcs/escort/ec/detail?hHinCd=EA758ZM-16A","EA758ZM-16A")</f>
        <v>EA758ZM-16A</v>
      </c>
    </row>
    <row r="1094" spans="2:5" x14ac:dyDescent="0.15">
      <c r="B1094" s="6" t="s">
        <v>2897</v>
      </c>
      <c r="C1094" s="6" t="s">
        <v>2898</v>
      </c>
      <c r="D1094" s="6" t="s">
        <v>2899</v>
      </c>
      <c r="E1094" s="5" t="str">
        <f>HYPERLINK("https://www.esco-net.com/wcs/escort/ec/detail?hHinCd=EA763BB-76B","EA763BB-76B")</f>
        <v>EA763BB-76B</v>
      </c>
    </row>
    <row r="1095" spans="2:5" x14ac:dyDescent="0.15">
      <c r="B1095" s="6" t="s">
        <v>2897</v>
      </c>
      <c r="C1095" s="6" t="s">
        <v>2900</v>
      </c>
      <c r="D1095" s="6" t="s">
        <v>2901</v>
      </c>
      <c r="E1095" s="5" t="str">
        <f>HYPERLINK("https://www.esco-net.com/wcs/escort/ec/detail?hHinCd=EA763BC-36A","EA763BC-36A")</f>
        <v>EA763BC-36A</v>
      </c>
    </row>
    <row r="1096" spans="2:5" x14ac:dyDescent="0.15">
      <c r="B1096" s="6" t="s">
        <v>2897</v>
      </c>
      <c r="C1096" s="6" t="s">
        <v>2902</v>
      </c>
      <c r="D1096" s="6" t="s">
        <v>2903</v>
      </c>
      <c r="E1096" s="5" t="str">
        <f>HYPERLINK("https://www.esco-net.com/wcs/escort/ec/detail?hHinCd=EA763BC-69","EA763BC-69")</f>
        <v>EA763BC-69</v>
      </c>
    </row>
    <row r="1097" spans="2:5" x14ac:dyDescent="0.15">
      <c r="B1097" s="6" t="s">
        <v>277</v>
      </c>
      <c r="C1097" s="6" t="s">
        <v>2904</v>
      </c>
      <c r="D1097" s="6" t="s">
        <v>2905</v>
      </c>
      <c r="E1097" s="5" t="str">
        <f>HYPERLINK("https://www.esco-net.com/wcs/escort/ec/detail?hHinCd=EA763AN-9J","EA763AN-9J")</f>
        <v>EA763AN-9J</v>
      </c>
    </row>
    <row r="1098" spans="2:5" x14ac:dyDescent="0.15">
      <c r="B1098" s="6" t="s">
        <v>277</v>
      </c>
      <c r="C1098" s="6" t="s">
        <v>2906</v>
      </c>
      <c r="D1098" s="6" t="s">
        <v>2907</v>
      </c>
      <c r="E1098" s="5" t="str">
        <f>HYPERLINK("https://www.esco-net.com/wcs/escort/ec/detail?hHinCd=EA763AP-101B","EA763AP-101B")</f>
        <v>EA763AP-101B</v>
      </c>
    </row>
    <row r="1099" spans="2:5" x14ac:dyDescent="0.15">
      <c r="B1099" s="6" t="s">
        <v>2908</v>
      </c>
      <c r="C1099" s="6" t="s">
        <v>2909</v>
      </c>
      <c r="D1099" s="6" t="s">
        <v>2910</v>
      </c>
      <c r="E1099" s="5" t="str">
        <f>HYPERLINK("https://www.esco-net.com/wcs/escort/ec/detail?hHinCd=EA763AP-220C","EA763AP-220C")</f>
        <v>EA763AP-220C</v>
      </c>
    </row>
    <row r="1100" spans="2:5" x14ac:dyDescent="0.15">
      <c r="B1100" s="6" t="s">
        <v>2908</v>
      </c>
      <c r="C1100" s="6" t="s">
        <v>2911</v>
      </c>
      <c r="D1100" s="6" t="s">
        <v>2912</v>
      </c>
      <c r="E1100" s="5"/>
    </row>
    <row r="1101" spans="2:5" x14ac:dyDescent="0.15">
      <c r="B1101" s="6" t="s">
        <v>112</v>
      </c>
      <c r="C1101" s="6" t="s">
        <v>2913</v>
      </c>
      <c r="D1101" s="6" t="s">
        <v>2914</v>
      </c>
      <c r="E1101" s="5" t="str">
        <f>HYPERLINK("https://www.esco-net.com/wcs/escort/ec/detail?hHinCd=EA763AJ-43P","EA763AJ-43P")</f>
        <v>EA763AJ-43P</v>
      </c>
    </row>
    <row r="1102" spans="2:5" x14ac:dyDescent="0.15">
      <c r="B1102" s="6" t="s">
        <v>2915</v>
      </c>
      <c r="C1102" s="6" t="s">
        <v>2916</v>
      </c>
      <c r="D1102" s="6" t="s">
        <v>2917</v>
      </c>
      <c r="E1102" s="5" t="str">
        <f>HYPERLINK("https://www.esco-net.com/wcs/escort/ec/detail?hHinCd=EA763AJ-29H","EA763AJ-29H")</f>
        <v>EA763AJ-29H</v>
      </c>
    </row>
    <row r="1103" spans="2:5" x14ac:dyDescent="0.15">
      <c r="B1103" s="6" t="s">
        <v>2918</v>
      </c>
      <c r="C1103" s="6" t="s">
        <v>2919</v>
      </c>
      <c r="D1103" s="6" t="s">
        <v>2920</v>
      </c>
      <c r="E1103" s="5" t="str">
        <f>HYPERLINK("https://www.esco-net.com/wcs/escort/ec/detail?hHinCd=EA763AZ-56N","EA763AZ-56N")</f>
        <v>EA763AZ-56N</v>
      </c>
    </row>
    <row r="1104" spans="2:5" x14ac:dyDescent="0.15">
      <c r="B1104" s="6" t="s">
        <v>2921</v>
      </c>
      <c r="C1104" s="6" t="s">
        <v>2922</v>
      </c>
      <c r="D1104" s="6" t="s">
        <v>2923</v>
      </c>
      <c r="E1104" s="5" t="str">
        <f>HYPERLINK("https://www.esco-net.com/wcs/escort/ec/detail?hHinCd=EA791AA-1","EA791AA-1")</f>
        <v>EA791AA-1</v>
      </c>
    </row>
    <row r="1105" spans="2:5" x14ac:dyDescent="0.15">
      <c r="B1105" s="6" t="s">
        <v>2924</v>
      </c>
      <c r="C1105" s="6" t="s">
        <v>2925</v>
      </c>
      <c r="D1105" s="6" t="s">
        <v>2926</v>
      </c>
      <c r="E1105" s="5"/>
    </row>
    <row r="1106" spans="2:5" x14ac:dyDescent="0.15">
      <c r="B1106" s="6" t="s">
        <v>2924</v>
      </c>
      <c r="C1106" s="6" t="s">
        <v>2927</v>
      </c>
      <c r="D1106" s="6" t="s">
        <v>2928</v>
      </c>
      <c r="E1106" s="5" t="str">
        <f>HYPERLINK("https://www.esco-net.com/wcs/escort/ec/detail?hHinCd=EA540MA-11","EA540MA-11")</f>
        <v>EA540MA-11</v>
      </c>
    </row>
    <row r="1107" spans="2:5" x14ac:dyDescent="0.15">
      <c r="B1107" s="6" t="s">
        <v>2924</v>
      </c>
      <c r="C1107" s="6" t="s">
        <v>2929</v>
      </c>
      <c r="D1107" s="6" t="s">
        <v>2930</v>
      </c>
      <c r="E1107" s="5" t="str">
        <f>HYPERLINK("https://www.esco-net.com/wcs/escort/ec/detail?hHinCd=EA540K-53","EA540K-53")</f>
        <v>EA540K-53</v>
      </c>
    </row>
    <row r="1108" spans="2:5" x14ac:dyDescent="0.15">
      <c r="B1108" s="6" t="s">
        <v>278</v>
      </c>
      <c r="C1108" s="6" t="s">
        <v>2931</v>
      </c>
      <c r="D1108" s="6" t="s">
        <v>2932</v>
      </c>
      <c r="E1108" s="5" t="str">
        <f>HYPERLINK("https://www.esco-net.com/wcs/escort/ec/detail?hHinCd=EA540E-20","EA540E-20")</f>
        <v>EA540E-20</v>
      </c>
    </row>
    <row r="1109" spans="2:5" x14ac:dyDescent="0.15">
      <c r="B1109" s="6" t="s">
        <v>278</v>
      </c>
      <c r="C1109" s="6" t="s">
        <v>2933</v>
      </c>
      <c r="D1109" s="6" t="s">
        <v>2934</v>
      </c>
      <c r="E1109" s="5" t="str">
        <f>HYPERLINK("https://www.esco-net.com/wcs/escort/ec/detail?hHinCd=EA544ED-31","EA544ED-31")</f>
        <v>EA544ED-31</v>
      </c>
    </row>
    <row r="1110" spans="2:5" x14ac:dyDescent="0.15">
      <c r="B1110" s="6" t="s">
        <v>2935</v>
      </c>
      <c r="C1110" s="6" t="s">
        <v>2936</v>
      </c>
      <c r="D1110" s="6" t="s">
        <v>2937</v>
      </c>
      <c r="E1110" s="5" t="str">
        <f>HYPERLINK("https://www.esco-net.com/wcs/escort/ec/detail?hHinCd=EA540AL-11","EA540AL-11")</f>
        <v>EA540AL-11</v>
      </c>
    </row>
    <row r="1111" spans="2:5" x14ac:dyDescent="0.15">
      <c r="B1111" s="6" t="s">
        <v>2935</v>
      </c>
      <c r="C1111" s="6" t="s">
        <v>2938</v>
      </c>
      <c r="D1111" s="6" t="s">
        <v>2939</v>
      </c>
      <c r="E1111" s="5" t="str">
        <f>HYPERLINK("https://www.esco-net.com/wcs/escort/ec/detail?hHinCd=EA540HD-1","EA540HD-1")</f>
        <v>EA540HD-1</v>
      </c>
    </row>
    <row r="1112" spans="2:5" x14ac:dyDescent="0.15">
      <c r="B1112" s="6" t="s">
        <v>279</v>
      </c>
      <c r="C1112" s="6" t="s">
        <v>2940</v>
      </c>
      <c r="D1112" s="6" t="s">
        <v>2941</v>
      </c>
      <c r="E1112" s="5" t="str">
        <f>HYPERLINK("https://www.esco-net.com/wcs/escort/ec/detail?hHinCd=EA540HD-1","EA540HD-1")</f>
        <v>EA540HD-1</v>
      </c>
    </row>
    <row r="1113" spans="2:5" x14ac:dyDescent="0.15">
      <c r="B1113" s="6" t="s">
        <v>279</v>
      </c>
      <c r="C1113" s="6" t="s">
        <v>2942</v>
      </c>
      <c r="D1113" s="6" t="s">
        <v>2943</v>
      </c>
      <c r="E1113" s="5"/>
    </row>
    <row r="1114" spans="2:5" x14ac:dyDescent="0.15">
      <c r="B1114" s="6" t="s">
        <v>65</v>
      </c>
      <c r="C1114" s="6" t="s">
        <v>2944</v>
      </c>
      <c r="D1114" s="6" t="s">
        <v>2945</v>
      </c>
      <c r="E1114" s="5" t="str">
        <f>HYPERLINK("https://www.esco-net.com/wcs/escort/ec/detail?hHinCd=EA540K-101","EA540K-101")</f>
        <v>EA540K-101</v>
      </c>
    </row>
    <row r="1115" spans="2:5" x14ac:dyDescent="0.15">
      <c r="B1115" s="6" t="s">
        <v>65</v>
      </c>
      <c r="C1115" s="6" t="s">
        <v>2946</v>
      </c>
      <c r="D1115" s="6" t="s">
        <v>2947</v>
      </c>
      <c r="E1115" s="5"/>
    </row>
    <row r="1116" spans="2:5" x14ac:dyDescent="0.15">
      <c r="B1116" s="6" t="s">
        <v>65</v>
      </c>
      <c r="C1116" s="6" t="s">
        <v>2948</v>
      </c>
      <c r="D1116" s="6" t="s">
        <v>2949</v>
      </c>
      <c r="E1116" s="5"/>
    </row>
    <row r="1117" spans="2:5" x14ac:dyDescent="0.15">
      <c r="B1117" s="6" t="s">
        <v>280</v>
      </c>
      <c r="C1117" s="6" t="s">
        <v>2950</v>
      </c>
      <c r="D1117" s="6" t="s">
        <v>2951</v>
      </c>
      <c r="E1117" s="5"/>
    </row>
    <row r="1118" spans="2:5" x14ac:dyDescent="0.15">
      <c r="B1118" s="6" t="s">
        <v>66</v>
      </c>
      <c r="C1118" s="6" t="s">
        <v>2952</v>
      </c>
      <c r="D1118" s="6" t="s">
        <v>2953</v>
      </c>
      <c r="E1118" s="5" t="str">
        <f>HYPERLINK("https://www.esco-net.com/wcs/escort/ec/detail?hHinCd=EA944MA-212","EA944MA-212")</f>
        <v>EA944MA-212</v>
      </c>
    </row>
    <row r="1119" spans="2:5" x14ac:dyDescent="0.15">
      <c r="B1119" s="6" t="s">
        <v>2954</v>
      </c>
      <c r="C1119" s="6" t="s">
        <v>2955</v>
      </c>
      <c r="D1119" s="6" t="s">
        <v>2956</v>
      </c>
      <c r="E1119" s="5"/>
    </row>
    <row r="1120" spans="2:5" x14ac:dyDescent="0.15">
      <c r="B1120" s="6" t="s">
        <v>281</v>
      </c>
      <c r="C1120" s="6" t="s">
        <v>2957</v>
      </c>
      <c r="D1120" s="6" t="s">
        <v>2958</v>
      </c>
      <c r="E1120" s="5" t="str">
        <f>HYPERLINK("https://www.esco-net.com/wcs/escort/ec/detail?hHinCd=EA628AV-24","EA628AV-24")</f>
        <v>EA628AV-24</v>
      </c>
    </row>
    <row r="1121" spans="2:5" x14ac:dyDescent="0.15">
      <c r="B1121" s="6" t="s">
        <v>281</v>
      </c>
      <c r="C1121" s="6" t="s">
        <v>2959</v>
      </c>
      <c r="D1121" s="6" t="s">
        <v>2960</v>
      </c>
      <c r="E1121" s="5" t="str">
        <f>HYPERLINK("https://www.esco-net.com/wcs/escort/ec/detail?hHinCd=EA628AW-2","EA628AW-2")</f>
        <v>EA628AW-2</v>
      </c>
    </row>
    <row r="1122" spans="2:5" x14ac:dyDescent="0.15">
      <c r="B1122" s="6" t="s">
        <v>281</v>
      </c>
      <c r="C1122" s="6" t="s">
        <v>2961</v>
      </c>
      <c r="D1122" s="6" t="s">
        <v>2962</v>
      </c>
      <c r="E1122" s="5" t="str">
        <f>HYPERLINK("https://www.esco-net.com/wcs/escort/ec/detail?hHinCd=EA628AY-112","EA628AY-112")</f>
        <v>EA628AY-112</v>
      </c>
    </row>
    <row r="1123" spans="2:5" x14ac:dyDescent="0.15">
      <c r="B1123" s="6" t="s">
        <v>281</v>
      </c>
      <c r="C1123" s="6" t="s">
        <v>2963</v>
      </c>
      <c r="D1123" s="6" t="s">
        <v>2964</v>
      </c>
      <c r="E1123" s="5" t="str">
        <f>HYPERLINK("https://www.esco-net.com/wcs/escort/ec/detail?hHinCd=EA628AZ-7","EA628AZ-7")</f>
        <v>EA628AZ-7</v>
      </c>
    </row>
    <row r="1124" spans="2:5" x14ac:dyDescent="0.15">
      <c r="B1124" s="6" t="s">
        <v>2965</v>
      </c>
      <c r="C1124" s="6" t="s">
        <v>2966</v>
      </c>
      <c r="D1124" s="6" t="s">
        <v>2967</v>
      </c>
      <c r="E1124" s="5"/>
    </row>
    <row r="1125" spans="2:5" x14ac:dyDescent="0.15">
      <c r="B1125" s="6" t="s">
        <v>282</v>
      </c>
      <c r="C1125" s="6" t="s">
        <v>2968</v>
      </c>
      <c r="D1125" s="6" t="s">
        <v>2969</v>
      </c>
      <c r="E1125" s="5" t="str">
        <f>HYPERLINK("https://www.esco-net.com/wcs/escort/ec/detail?hHinCd=EA951FE-107A","EA951FE-107A")</f>
        <v>EA951FE-107A</v>
      </c>
    </row>
    <row r="1126" spans="2:5" x14ac:dyDescent="0.15">
      <c r="B1126" s="6" t="s">
        <v>67</v>
      </c>
      <c r="C1126" s="6" t="s">
        <v>2970</v>
      </c>
      <c r="D1126" s="6" t="s">
        <v>2971</v>
      </c>
      <c r="E1126" s="5" t="str">
        <f>HYPERLINK("https://www.esco-net.com/wcs/escort/ec/detail?hHinCd=EA951FE-55B","EA951FE-55B")</f>
        <v>EA951FE-55B</v>
      </c>
    </row>
    <row r="1127" spans="2:5" x14ac:dyDescent="0.15">
      <c r="B1127" s="6" t="s">
        <v>67</v>
      </c>
      <c r="C1127" s="6" t="s">
        <v>2972</v>
      </c>
      <c r="D1127" s="6" t="s">
        <v>2973</v>
      </c>
      <c r="E1127" s="5" t="str">
        <f>HYPERLINK("https://www.esco-net.com/wcs/escort/ec/detail?hHinCd=EA951FG-62A","EA951FG-62A")</f>
        <v>EA951FG-62A</v>
      </c>
    </row>
    <row r="1128" spans="2:5" x14ac:dyDescent="0.15">
      <c r="B1128" s="6" t="s">
        <v>2974</v>
      </c>
      <c r="C1128" s="6" t="s">
        <v>2975</v>
      </c>
      <c r="D1128" s="6" t="s">
        <v>2976</v>
      </c>
      <c r="E1128" s="5"/>
    </row>
    <row r="1129" spans="2:5" x14ac:dyDescent="0.15">
      <c r="B1129" s="6" t="s">
        <v>2974</v>
      </c>
      <c r="C1129" s="6" t="s">
        <v>2977</v>
      </c>
      <c r="D1129" s="6" t="s">
        <v>2978</v>
      </c>
      <c r="E1129" s="5"/>
    </row>
    <row r="1130" spans="2:5" x14ac:dyDescent="0.15">
      <c r="B1130" s="6" t="s">
        <v>113</v>
      </c>
      <c r="C1130" s="6" t="s">
        <v>2979</v>
      </c>
      <c r="D1130" s="6" t="s">
        <v>2980</v>
      </c>
      <c r="E1130" s="5" t="str">
        <f>HYPERLINK("https://www.esco-net.com/wcs/escort/ec/detail?hHinCd=EA944CT-62","EA944CT-62")</f>
        <v>EA944CT-62</v>
      </c>
    </row>
    <row r="1131" spans="2:5" x14ac:dyDescent="0.15">
      <c r="B1131" s="6" t="s">
        <v>2981</v>
      </c>
      <c r="C1131" s="6" t="s">
        <v>2982</v>
      </c>
      <c r="D1131" s="6" t="s">
        <v>2983</v>
      </c>
      <c r="E1131" s="5" t="str">
        <f>HYPERLINK("https://www.esco-net.com/wcs/escort/ec/detail?hHinCd=EA912MF-1","EA912MF-1")</f>
        <v>EA912MF-1</v>
      </c>
    </row>
    <row r="1132" spans="2:5" x14ac:dyDescent="0.15">
      <c r="B1132" s="6" t="s">
        <v>2981</v>
      </c>
      <c r="C1132" s="6" t="s">
        <v>2984</v>
      </c>
      <c r="D1132" s="6" t="s">
        <v>2985</v>
      </c>
      <c r="E1132" s="5" t="str">
        <f>HYPERLINK("https://www.esco-net.com/wcs/escort/ec/detail?hHinCd=EA912MF-3","EA912MF-3")</f>
        <v>EA912MF-3</v>
      </c>
    </row>
    <row r="1133" spans="2:5" x14ac:dyDescent="0.15">
      <c r="B1133" s="6" t="s">
        <v>2981</v>
      </c>
      <c r="C1133" s="6" t="s">
        <v>2986</v>
      </c>
      <c r="D1133" s="6" t="s">
        <v>2987</v>
      </c>
      <c r="E1133" s="5" t="str">
        <f>HYPERLINK("https://www.esco-net.com/wcs/escort/ec/detail?hHinCd=EA912MF-5","EA912MF-5")</f>
        <v>EA912MF-5</v>
      </c>
    </row>
    <row r="1134" spans="2:5" x14ac:dyDescent="0.15">
      <c r="B1134" s="6" t="s">
        <v>2981</v>
      </c>
      <c r="C1134" s="6" t="s">
        <v>2988</v>
      </c>
      <c r="D1134" s="6" t="s">
        <v>2989</v>
      </c>
      <c r="E1134" s="5" t="str">
        <f>HYPERLINK("https://www.esco-net.com/wcs/escort/ec/detail?hHinCd=EA912MF-5","EA912MF-5")</f>
        <v>EA912MF-5</v>
      </c>
    </row>
    <row r="1135" spans="2:5" x14ac:dyDescent="0.15">
      <c r="B1135" s="6" t="s">
        <v>2981</v>
      </c>
      <c r="C1135" s="6" t="s">
        <v>2990</v>
      </c>
      <c r="D1135" s="6" t="s">
        <v>2991</v>
      </c>
      <c r="E1135" s="5" t="str">
        <f>HYPERLINK("https://www.esco-net.com/wcs/escort/ec/detail?hHinCd=EA912MM","EA912MM")</f>
        <v>EA912MM</v>
      </c>
    </row>
    <row r="1136" spans="2:5" x14ac:dyDescent="0.15">
      <c r="B1136" s="6" t="s">
        <v>283</v>
      </c>
      <c r="C1136" s="6" t="s">
        <v>2992</v>
      </c>
      <c r="D1136" s="6" t="s">
        <v>2993</v>
      </c>
      <c r="E1136" s="5" t="str">
        <f>HYPERLINK("https://www.esco-net.com/wcs/escort/ec/detail?hHinCd=EA912JF-1A","EA912JF-1A")</f>
        <v>EA912JF-1A</v>
      </c>
    </row>
    <row r="1137" spans="2:5" x14ac:dyDescent="0.15">
      <c r="B1137" s="6" t="s">
        <v>20</v>
      </c>
      <c r="C1137" s="6" t="s">
        <v>2994</v>
      </c>
      <c r="D1137" s="6" t="s">
        <v>2995</v>
      </c>
      <c r="E1137" s="5" t="str">
        <f>HYPERLINK("https://www.esco-net.com/wcs/escort/ec/detail?hHinCd=EA913VR-23B","EA913VR-23B")</f>
        <v>EA913VR-23B</v>
      </c>
    </row>
    <row r="1138" spans="2:5" x14ac:dyDescent="0.15">
      <c r="B1138" s="6" t="s">
        <v>20</v>
      </c>
      <c r="C1138" s="6" t="s">
        <v>2996</v>
      </c>
      <c r="D1138" s="6" t="s">
        <v>2997</v>
      </c>
      <c r="E1138" s="5" t="str">
        <f>HYPERLINK("https://www.esco-net.com/wcs/escort/ec/detail?hHinCd=EA929AC-16","EA929AC-16")</f>
        <v>EA929AC-16</v>
      </c>
    </row>
    <row r="1139" spans="2:5" x14ac:dyDescent="0.15">
      <c r="B1139" s="6" t="s">
        <v>20</v>
      </c>
      <c r="C1139" s="6" t="s">
        <v>2998</v>
      </c>
      <c r="D1139" s="6" t="s">
        <v>2999</v>
      </c>
      <c r="E1139" s="5" t="str">
        <f>HYPERLINK("https://www.esco-net.com/wcs/escort/ec/detail?hHinCd=EA929DF-18A","EA929DF-18A")</f>
        <v>EA929DF-18A</v>
      </c>
    </row>
    <row r="1140" spans="2:5" x14ac:dyDescent="0.15">
      <c r="B1140" s="6" t="s">
        <v>20</v>
      </c>
      <c r="C1140" s="6" t="s">
        <v>3000</v>
      </c>
      <c r="D1140" s="6" t="s">
        <v>3001</v>
      </c>
      <c r="E1140" s="5"/>
    </row>
    <row r="1141" spans="2:5" x14ac:dyDescent="0.15">
      <c r="B1141" s="6" t="s">
        <v>284</v>
      </c>
      <c r="C1141" s="6" t="s">
        <v>3002</v>
      </c>
      <c r="D1141" s="6" t="s">
        <v>3003</v>
      </c>
      <c r="E1141" s="5" t="str">
        <f>HYPERLINK("https://www.esco-net.com/wcs/escort/ec/detail?hHinCd=EA506AB-188","EA506AB-188")</f>
        <v>EA506AB-188</v>
      </c>
    </row>
    <row r="1142" spans="2:5" x14ac:dyDescent="0.15">
      <c r="B1142" s="6" t="s">
        <v>3004</v>
      </c>
      <c r="C1142" s="6" t="s">
        <v>3005</v>
      </c>
      <c r="D1142" s="6" t="s">
        <v>3006</v>
      </c>
      <c r="E1142" s="5" t="str">
        <f>HYPERLINK("https://www.esco-net.com/wcs/escort/ec/detail?hHinCd=EA929A-19A","EA929A-19A")</f>
        <v>EA929A-19A</v>
      </c>
    </row>
    <row r="1143" spans="2:5" x14ac:dyDescent="0.15">
      <c r="B1143" s="6" t="s">
        <v>285</v>
      </c>
      <c r="C1143" s="6" t="s">
        <v>3007</v>
      </c>
      <c r="D1143" s="6" t="s">
        <v>3008</v>
      </c>
      <c r="E1143" s="5" t="str">
        <f>HYPERLINK("https://www.esco-net.com/wcs/escort/ec/detail?hHinCd=EA995AD-94B","EA995AD-94B")</f>
        <v>EA995AD-94B</v>
      </c>
    </row>
    <row r="1144" spans="2:5" x14ac:dyDescent="0.15">
      <c r="B1144" s="6" t="s">
        <v>285</v>
      </c>
      <c r="C1144" s="6" t="s">
        <v>3009</v>
      </c>
      <c r="D1144" s="6" t="s">
        <v>3010</v>
      </c>
      <c r="E1144" s="5" t="str">
        <f>HYPERLINK("https://www.esco-net.com/wcs/escort/ec/detail?hHinCd=EA995AD-99B","EA995AD-99B")</f>
        <v>EA995AD-99B</v>
      </c>
    </row>
    <row r="1145" spans="2:5" x14ac:dyDescent="0.15">
      <c r="B1145" s="6" t="s">
        <v>285</v>
      </c>
      <c r="C1145" s="6" t="s">
        <v>3011</v>
      </c>
      <c r="D1145" s="6" t="s">
        <v>3012</v>
      </c>
      <c r="E1145" s="5" t="str">
        <f>HYPERLINK("https://www.esco-net.com/wcs/escort/ec/detail?hHinCd=EA995AD-102B","EA995AD-102B")</f>
        <v>EA995AD-102B</v>
      </c>
    </row>
    <row r="1146" spans="2:5" x14ac:dyDescent="0.15">
      <c r="B1146" s="6" t="s">
        <v>3013</v>
      </c>
      <c r="C1146" s="6" t="s">
        <v>3014</v>
      </c>
      <c r="D1146" s="6" t="s">
        <v>3015</v>
      </c>
      <c r="E1146" s="5" t="str">
        <f>HYPERLINK("https://www.esco-net.com/wcs/escort/ec/detail?hHinCd=EA995AD-315","EA995AD-315")</f>
        <v>EA995AD-315</v>
      </c>
    </row>
    <row r="1147" spans="2:5" x14ac:dyDescent="0.15">
      <c r="B1147" s="6" t="s">
        <v>286</v>
      </c>
      <c r="C1147" s="6" t="s">
        <v>3016</v>
      </c>
      <c r="D1147" s="6" t="s">
        <v>3017</v>
      </c>
      <c r="E1147" s="5" t="str">
        <f>HYPERLINK("https://www.esco-net.com/wcs/escort/ec/detail?hHinCd=EA995AD-339","EA995AD-339")</f>
        <v>EA995AD-339</v>
      </c>
    </row>
    <row r="1148" spans="2:5" x14ac:dyDescent="0.15">
      <c r="B1148" s="6" t="s">
        <v>3018</v>
      </c>
      <c r="C1148" s="6" t="s">
        <v>3019</v>
      </c>
      <c r="D1148" s="6" t="s">
        <v>3020</v>
      </c>
      <c r="E1148" s="5" t="str">
        <f>HYPERLINK("https://www.esco-net.com/wcs/escort/ec/detail?hHinCd=EA995AD-28","EA995AD-28")</f>
        <v>EA995AD-28</v>
      </c>
    </row>
    <row r="1149" spans="2:5" x14ac:dyDescent="0.15">
      <c r="B1149" s="6" t="s">
        <v>3021</v>
      </c>
      <c r="C1149" s="6" t="s">
        <v>3022</v>
      </c>
      <c r="D1149" s="6" t="s">
        <v>3023</v>
      </c>
      <c r="E1149" s="5" t="str">
        <f>HYPERLINK("https://www.esco-net.com/wcs/escort/ec/detail?hHinCd=EA109DZ-22B","EA109DZ-22B")</f>
        <v>EA109DZ-22B</v>
      </c>
    </row>
    <row r="1150" spans="2:5" x14ac:dyDescent="0.15">
      <c r="B1150" s="6" t="s">
        <v>3024</v>
      </c>
      <c r="C1150" s="6" t="s">
        <v>3025</v>
      </c>
      <c r="D1150" s="6" t="s">
        <v>3026</v>
      </c>
      <c r="E1150" s="5" t="str">
        <f>HYPERLINK("https://www.esco-net.com/wcs/escort/ec/detail?hHinCd=EA916HH-6","EA916HH-6")</f>
        <v>EA916HH-6</v>
      </c>
    </row>
    <row r="1151" spans="2:5" x14ac:dyDescent="0.15">
      <c r="B1151" s="6" t="s">
        <v>3027</v>
      </c>
      <c r="C1151" s="6" t="s">
        <v>3028</v>
      </c>
      <c r="D1151" s="6" t="s">
        <v>3029</v>
      </c>
      <c r="E1151" s="5"/>
    </row>
    <row r="1152" spans="2:5" x14ac:dyDescent="0.15">
      <c r="B1152" s="6" t="s">
        <v>3030</v>
      </c>
      <c r="C1152" s="6" t="s">
        <v>3031</v>
      </c>
      <c r="D1152" s="6" t="s">
        <v>3032</v>
      </c>
      <c r="E1152" s="5" t="str">
        <f>HYPERLINK("https://www.esco-net.com/wcs/escort/ec/detail?hHinCd=EA638LF-58A","EA638LF-58A")</f>
        <v>EA638LF-58A</v>
      </c>
    </row>
    <row r="1153" spans="2:5" x14ac:dyDescent="0.15">
      <c r="B1153" s="6" t="s">
        <v>3033</v>
      </c>
      <c r="C1153" s="6" t="s">
        <v>3034</v>
      </c>
      <c r="D1153" s="6" t="s">
        <v>3035</v>
      </c>
      <c r="E1153" s="5" t="str">
        <f>HYPERLINK("https://www.esco-net.com/wcs/escort/ec/detail?hHinCd=EA922KB-10D","EA922KB-10D")</f>
        <v>EA922KB-10D</v>
      </c>
    </row>
    <row r="1154" spans="2:5" x14ac:dyDescent="0.15">
      <c r="B1154" s="6" t="s">
        <v>3033</v>
      </c>
      <c r="C1154" s="6" t="s">
        <v>3036</v>
      </c>
      <c r="D1154" s="6" t="s">
        <v>3037</v>
      </c>
      <c r="E1154" s="5" t="str">
        <f>HYPERLINK("https://www.esco-net.com/wcs/escort/ec/detail?hHinCd=EA922KB-15BA","EA922KB-15BA")</f>
        <v>EA922KB-15BA</v>
      </c>
    </row>
    <row r="1155" spans="2:5" x14ac:dyDescent="0.15">
      <c r="B1155" s="6" t="s">
        <v>3033</v>
      </c>
      <c r="C1155" s="6" t="s">
        <v>3038</v>
      </c>
      <c r="D1155" s="6" t="s">
        <v>3039</v>
      </c>
      <c r="E1155" s="5"/>
    </row>
    <row r="1156" spans="2:5" x14ac:dyDescent="0.15">
      <c r="B1156" s="6" t="s">
        <v>21</v>
      </c>
      <c r="C1156" s="6" t="s">
        <v>3040</v>
      </c>
      <c r="D1156" s="6" t="s">
        <v>287</v>
      </c>
      <c r="E1156" s="5" t="str">
        <f>HYPERLINK("https://www.esco-net.com/wcs/escort/ec/detail?hHinCd=EA922AB-31","EA922AB-31")</f>
        <v>EA922AB-31</v>
      </c>
    </row>
    <row r="1157" spans="2:5" x14ac:dyDescent="0.15">
      <c r="B1157" s="6" t="s">
        <v>114</v>
      </c>
      <c r="C1157" s="6" t="s">
        <v>3041</v>
      </c>
      <c r="D1157" s="6" t="s">
        <v>3042</v>
      </c>
      <c r="E1157" s="5"/>
    </row>
    <row r="1158" spans="2:5" x14ac:dyDescent="0.15">
      <c r="B1158" s="6" t="s">
        <v>3043</v>
      </c>
      <c r="C1158" s="6" t="s">
        <v>3044</v>
      </c>
      <c r="D1158" s="6" t="s">
        <v>3045</v>
      </c>
      <c r="E1158" s="5"/>
    </row>
    <row r="1159" spans="2:5" x14ac:dyDescent="0.15">
      <c r="B1159" s="6" t="s">
        <v>3043</v>
      </c>
      <c r="C1159" s="6" t="s">
        <v>3046</v>
      </c>
      <c r="D1159" s="6" t="s">
        <v>3047</v>
      </c>
      <c r="E1159" s="5"/>
    </row>
    <row r="1160" spans="2:5" x14ac:dyDescent="0.15">
      <c r="B1160" s="6" t="s">
        <v>3048</v>
      </c>
      <c r="C1160" s="6" t="s">
        <v>3049</v>
      </c>
      <c r="D1160" s="6" t="s">
        <v>3050</v>
      </c>
      <c r="E1160" s="5"/>
    </row>
    <row r="1161" spans="2:5" x14ac:dyDescent="0.15">
      <c r="B1161" s="6" t="s">
        <v>3048</v>
      </c>
      <c r="C1161" s="6" t="s">
        <v>3051</v>
      </c>
      <c r="D1161" s="6" t="s">
        <v>3052</v>
      </c>
      <c r="E1161" s="5"/>
    </row>
    <row r="1162" spans="2:5" x14ac:dyDescent="0.15">
      <c r="B1162" s="6" t="s">
        <v>3053</v>
      </c>
      <c r="C1162" s="6" t="s">
        <v>3054</v>
      </c>
      <c r="D1162" s="6" t="s">
        <v>3055</v>
      </c>
      <c r="E1162" s="5"/>
    </row>
    <row r="1163" spans="2:5" x14ac:dyDescent="0.15">
      <c r="B1163" s="6" t="s">
        <v>3053</v>
      </c>
      <c r="C1163" s="6" t="s">
        <v>3056</v>
      </c>
      <c r="D1163" s="6" t="s">
        <v>3057</v>
      </c>
      <c r="E1163" s="5" t="str">
        <f>HYPERLINK("https://www.esco-net.com/wcs/escort/ec/detail?hHinCd=EA941E-21A","EA941E-21A")</f>
        <v>EA941E-21A</v>
      </c>
    </row>
    <row r="1164" spans="2:5" x14ac:dyDescent="0.15">
      <c r="B1164" s="6" t="s">
        <v>22</v>
      </c>
      <c r="C1164" s="6" t="s">
        <v>3058</v>
      </c>
      <c r="D1164" s="6" t="s">
        <v>3059</v>
      </c>
      <c r="E1164" s="5" t="str">
        <f>HYPERLINK("https://www.esco-net.com/wcs/escort/ec/detail?hHinCd=EA944CR-19C","EA944CR-19C")</f>
        <v>EA944CR-19C</v>
      </c>
    </row>
    <row r="1165" spans="2:5" x14ac:dyDescent="0.15">
      <c r="B1165" s="6" t="s">
        <v>3060</v>
      </c>
      <c r="C1165" s="6" t="s">
        <v>3061</v>
      </c>
      <c r="D1165" s="6" t="s">
        <v>3062</v>
      </c>
      <c r="E1165" s="5"/>
    </row>
    <row r="1166" spans="2:5" x14ac:dyDescent="0.15">
      <c r="B1166" s="6" t="s">
        <v>288</v>
      </c>
      <c r="C1166" s="6" t="s">
        <v>3063</v>
      </c>
      <c r="D1166" s="6" t="s">
        <v>3064</v>
      </c>
      <c r="E1166" s="5" t="str">
        <f>HYPERLINK("https://www.esco-net.com/wcs/escort/ec/detail?hHinCd=EA800EA-24","EA800EA-24")</f>
        <v>EA800EA-24</v>
      </c>
    </row>
    <row r="1167" spans="2:5" x14ac:dyDescent="0.15">
      <c r="B1167" s="6" t="s">
        <v>3065</v>
      </c>
      <c r="C1167" s="6" t="s">
        <v>3066</v>
      </c>
      <c r="D1167" s="6" t="s">
        <v>3067</v>
      </c>
      <c r="E1167" s="5" t="str">
        <f>HYPERLINK("https://www.esco-net.com/wcs/escort/ec/detail?hHinCd=EA800AR-123","EA800AR-123")</f>
        <v>EA800AR-123</v>
      </c>
    </row>
    <row r="1168" spans="2:5" x14ac:dyDescent="0.15">
      <c r="B1168" s="6" t="s">
        <v>3068</v>
      </c>
      <c r="C1168" s="6" t="s">
        <v>3069</v>
      </c>
      <c r="D1168" s="6" t="s">
        <v>3070</v>
      </c>
      <c r="E1168" s="5" t="str">
        <f>HYPERLINK("https://www.esco-net.com/wcs/escort/ec/detail?hHinCd=EA800AR-5","EA800AR-5")</f>
        <v>EA800AR-5</v>
      </c>
    </row>
    <row r="1169" spans="2:5" x14ac:dyDescent="0.15">
      <c r="B1169" s="6" t="s">
        <v>68</v>
      </c>
      <c r="C1169" s="6" t="s">
        <v>3071</v>
      </c>
      <c r="D1169" s="6" t="s">
        <v>3070</v>
      </c>
      <c r="E1169" s="5" t="str">
        <f>HYPERLINK("https://www.esco-net.com/wcs/escort/ec/detail?hHinCd=EA800CA-8","EA800CA-8")</f>
        <v>EA800CA-8</v>
      </c>
    </row>
    <row r="1170" spans="2:5" x14ac:dyDescent="0.15">
      <c r="B1170" s="6" t="s">
        <v>3072</v>
      </c>
      <c r="C1170" s="6" t="s">
        <v>3073</v>
      </c>
      <c r="D1170" s="6" t="s">
        <v>3074</v>
      </c>
      <c r="E1170" s="5" t="str">
        <f>HYPERLINK("https://www.esco-net.com/wcs/escort/ec/detail?hHinCd=EA800NB-8","EA800NB-8")</f>
        <v>EA800NB-8</v>
      </c>
    </row>
    <row r="1171" spans="2:5" x14ac:dyDescent="0.15">
      <c r="B1171" s="6" t="s">
        <v>3072</v>
      </c>
      <c r="C1171" s="6" t="s">
        <v>3075</v>
      </c>
      <c r="D1171" s="6" t="s">
        <v>3076</v>
      </c>
      <c r="E1171" s="5" t="str">
        <f>HYPERLINK("https://www.esco-net.com/wcs/escort/ec/detail?hHinCd=EA800NB-7","EA800NB-7")</f>
        <v>EA800NB-7</v>
      </c>
    </row>
    <row r="1172" spans="2:5" x14ac:dyDescent="0.15">
      <c r="B1172" s="6" t="s">
        <v>115</v>
      </c>
      <c r="C1172" s="6" t="s">
        <v>3077</v>
      </c>
      <c r="D1172" s="6" t="s">
        <v>3078</v>
      </c>
      <c r="E1172" s="5" t="str">
        <f>HYPERLINK("https://www.esco-net.com/wcs/escort/ec/detail?hHinCd=EA800MJ-22","EA800MJ-22")</f>
        <v>EA800MJ-22</v>
      </c>
    </row>
    <row r="1173" spans="2:5" x14ac:dyDescent="0.15">
      <c r="B1173" s="6" t="s">
        <v>115</v>
      </c>
      <c r="C1173" s="6" t="s">
        <v>3079</v>
      </c>
      <c r="D1173" s="6" t="s">
        <v>3080</v>
      </c>
      <c r="E1173" s="5"/>
    </row>
    <row r="1174" spans="2:5" x14ac:dyDescent="0.15">
      <c r="B1174" s="6" t="s">
        <v>3081</v>
      </c>
      <c r="C1174" s="6" t="s">
        <v>3082</v>
      </c>
      <c r="D1174" s="6" t="s">
        <v>3083</v>
      </c>
      <c r="E1174" s="5" t="str">
        <f>HYPERLINK("https://www.esco-net.com/wcs/escort/ec/detail?hHinCd=EA354MA-11A","EA354MA-11A")</f>
        <v>EA354MA-11A</v>
      </c>
    </row>
    <row r="1175" spans="2:5" x14ac:dyDescent="0.15">
      <c r="B1175" s="6" t="s">
        <v>3084</v>
      </c>
      <c r="C1175" s="6" t="s">
        <v>3085</v>
      </c>
      <c r="D1175" s="6" t="s">
        <v>3086</v>
      </c>
      <c r="E1175" s="5" t="str">
        <f>HYPERLINK("https://www.esco-net.com/wcs/escort/ec/detail?hHinCd=EA354GJ-172","EA354GJ-172")</f>
        <v>EA354GJ-172</v>
      </c>
    </row>
    <row r="1176" spans="2:5" x14ac:dyDescent="0.15">
      <c r="B1176" s="6" t="s">
        <v>116</v>
      </c>
      <c r="C1176" s="6" t="s">
        <v>3087</v>
      </c>
      <c r="D1176" s="6" t="s">
        <v>3088</v>
      </c>
      <c r="E1176" s="5" t="str">
        <f>HYPERLINK("https://www.esco-net.com/wcs/escort/ec/detail?hHinCd=EA354GJ-173","EA354GJ-173")</f>
        <v>EA354GJ-173</v>
      </c>
    </row>
    <row r="1177" spans="2:5" x14ac:dyDescent="0.15">
      <c r="B1177" s="6" t="s">
        <v>69</v>
      </c>
      <c r="C1177" s="6" t="s">
        <v>3089</v>
      </c>
      <c r="D1177" s="6" t="s">
        <v>3090</v>
      </c>
      <c r="E1177" s="5" t="str">
        <f>HYPERLINK("https://www.esco-net.com/wcs/escort/ec/detail?hHinCd=EA354BF-86","EA354BF-86")</f>
        <v>EA354BF-86</v>
      </c>
    </row>
    <row r="1178" spans="2:5" x14ac:dyDescent="0.15">
      <c r="B1178" s="6" t="s">
        <v>69</v>
      </c>
      <c r="C1178" s="6" t="s">
        <v>3091</v>
      </c>
      <c r="D1178" s="6" t="s">
        <v>3092</v>
      </c>
      <c r="E1178" s="5" t="str">
        <f>HYPERLINK("https://www.esco-net.com/wcs/escort/ec/detail?hHinCd=EA354BF-86","EA354BF-86")</f>
        <v>EA354BF-86</v>
      </c>
    </row>
    <row r="1179" spans="2:5" x14ac:dyDescent="0.15">
      <c r="B1179" s="6" t="s">
        <v>69</v>
      </c>
      <c r="C1179" s="6" t="s">
        <v>3093</v>
      </c>
      <c r="D1179" s="6" t="s">
        <v>3094</v>
      </c>
      <c r="E1179" s="5" t="str">
        <f>HYPERLINK("https://www.esco-net.com/wcs/escort/ec/detail?hHinCd=EA354BF-87","EA354BF-87")</f>
        <v>EA354BF-87</v>
      </c>
    </row>
    <row r="1180" spans="2:5" x14ac:dyDescent="0.15">
      <c r="B1180" s="6" t="s">
        <v>3095</v>
      </c>
      <c r="C1180" s="6" t="s">
        <v>3096</v>
      </c>
      <c r="D1180" s="6" t="s">
        <v>3097</v>
      </c>
      <c r="E1180" s="5" t="str">
        <f>HYPERLINK("https://www.esco-net.com/wcs/escort/ec/detail?hHinCd=EA353BJ-103A","EA353BJ-103A")</f>
        <v>EA353BJ-103A</v>
      </c>
    </row>
    <row r="1181" spans="2:5" x14ac:dyDescent="0.15">
      <c r="B1181" s="6" t="s">
        <v>117</v>
      </c>
      <c r="C1181" s="6" t="s">
        <v>3098</v>
      </c>
      <c r="D1181" s="6" t="s">
        <v>3099</v>
      </c>
      <c r="E1181" s="5" t="str">
        <f>HYPERLINK("https://www.esco-net.com/wcs/escort/ec/detail?hHinCd=EA353BS-113","EA353BS-113")</f>
        <v>EA353BS-113</v>
      </c>
    </row>
    <row r="1182" spans="2:5" x14ac:dyDescent="0.15">
      <c r="B1182" s="6" t="s">
        <v>117</v>
      </c>
      <c r="C1182" s="6" t="s">
        <v>3100</v>
      </c>
      <c r="D1182" s="6" t="s">
        <v>289</v>
      </c>
      <c r="E1182" s="5" t="str">
        <f>HYPERLINK("https://www.esco-net.com/wcs/escort/ec/detail?hHinCd=EA353BT-163A","EA353BT-163A")</f>
        <v>EA353BT-163A</v>
      </c>
    </row>
    <row r="1183" spans="2:5" x14ac:dyDescent="0.15">
      <c r="B1183" s="6" t="s">
        <v>117</v>
      </c>
      <c r="C1183" s="6" t="s">
        <v>3101</v>
      </c>
      <c r="D1183" s="6" t="s">
        <v>3102</v>
      </c>
      <c r="E1183" s="5" t="str">
        <f>HYPERLINK("https://www.esco-net.com/wcs/escort/ec/detail?hHinCd=EA353BT-312","EA353BT-312")</f>
        <v>EA353BT-312</v>
      </c>
    </row>
    <row r="1184" spans="2:5" x14ac:dyDescent="0.15">
      <c r="B1184" s="6" t="s">
        <v>117</v>
      </c>
      <c r="C1184" s="6" t="s">
        <v>3103</v>
      </c>
      <c r="D1184" s="6" t="s">
        <v>3099</v>
      </c>
      <c r="E1184" s="5" t="str">
        <f>HYPERLINK("https://www.esco-net.com/wcs/escort/ec/detail?hHinCd=EA353BW-73","EA353BW-73")</f>
        <v>EA353BW-73</v>
      </c>
    </row>
    <row r="1185" spans="2:5" x14ac:dyDescent="0.15">
      <c r="B1185" s="6" t="s">
        <v>3104</v>
      </c>
      <c r="C1185" s="6" t="s">
        <v>3105</v>
      </c>
      <c r="D1185" s="6" t="s">
        <v>3106</v>
      </c>
      <c r="E1185" s="5" t="str">
        <f>HYPERLINK("https://www.esco-net.com/wcs/escort/ec/detail?hHinCd=EA353BY-212","EA353BY-212")</f>
        <v>EA353BY-212</v>
      </c>
    </row>
    <row r="1186" spans="2:5" x14ac:dyDescent="0.15">
      <c r="B1186" s="6" t="s">
        <v>3104</v>
      </c>
      <c r="C1186" s="6" t="s">
        <v>3107</v>
      </c>
      <c r="D1186" s="6" t="s">
        <v>3108</v>
      </c>
      <c r="E1186" s="5" t="str">
        <f>HYPERLINK("https://www.esco-net.com/wcs/escort/ec/detail?hHinCd=EA353BY-324","EA353BY-324")</f>
        <v>EA353BY-324</v>
      </c>
    </row>
    <row r="1187" spans="2:5" x14ac:dyDescent="0.15">
      <c r="B1187" s="6" t="s">
        <v>3104</v>
      </c>
      <c r="C1187" s="6" t="s">
        <v>3109</v>
      </c>
      <c r="D1187" s="6" t="s">
        <v>3110</v>
      </c>
      <c r="E1187" s="5" t="str">
        <f>HYPERLINK("https://www.esco-net.com/wcs/escort/ec/detail?hHinCd=EA353BJ-103A","EA353BJ-103A")</f>
        <v>EA353BJ-103A</v>
      </c>
    </row>
    <row r="1188" spans="2:5" x14ac:dyDescent="0.15">
      <c r="B1188" s="6" t="s">
        <v>3111</v>
      </c>
      <c r="C1188" s="6" t="s">
        <v>3112</v>
      </c>
      <c r="D1188" s="6" t="s">
        <v>3113</v>
      </c>
      <c r="E1188" s="5" t="str">
        <f>HYPERLINK("https://www.esco-net.com/wcs/escort/ec/detail?hHinCd=EA353BD-88","EA353BD-88")</f>
        <v>EA353BD-88</v>
      </c>
    </row>
    <row r="1189" spans="2:5" x14ac:dyDescent="0.15">
      <c r="B1189" s="6" t="s">
        <v>3111</v>
      </c>
      <c r="C1189" s="6" t="s">
        <v>3114</v>
      </c>
      <c r="D1189" s="6" t="s">
        <v>3115</v>
      </c>
      <c r="E1189" s="5" t="str">
        <f>HYPERLINK("https://www.esco-net.com/wcs/escort/ec/detail?hHinCd=EA353CC-48","EA353CC-48")</f>
        <v>EA353CC-48</v>
      </c>
    </row>
    <row r="1190" spans="2:5" x14ac:dyDescent="0.15">
      <c r="B1190" s="6" t="s">
        <v>3111</v>
      </c>
      <c r="C1190" s="6" t="s">
        <v>3116</v>
      </c>
      <c r="D1190" s="6" t="s">
        <v>3117</v>
      </c>
      <c r="E1190" s="5" t="str">
        <f>HYPERLINK("https://www.esco-net.com/wcs/escort/ec/detail?hHinCd=EA353BE-61","EA353BE-61")</f>
        <v>EA353BE-61</v>
      </c>
    </row>
    <row r="1191" spans="2:5" x14ac:dyDescent="0.15">
      <c r="B1191" s="6" t="s">
        <v>3118</v>
      </c>
      <c r="C1191" s="6" t="s">
        <v>3119</v>
      </c>
      <c r="D1191" s="6" t="s">
        <v>3120</v>
      </c>
      <c r="E1191" s="5" t="str">
        <f>HYPERLINK("https://www.esco-net.com/wcs/escort/ec/detail?hHinCd=EA353BB-12","EA353BB-12")</f>
        <v>EA353BB-12</v>
      </c>
    </row>
    <row r="1192" spans="2:5" x14ac:dyDescent="0.15">
      <c r="B1192" s="6" t="s">
        <v>3121</v>
      </c>
      <c r="C1192" s="6" t="s">
        <v>3122</v>
      </c>
      <c r="D1192" s="6" t="s">
        <v>3123</v>
      </c>
      <c r="E1192" s="5"/>
    </row>
    <row r="1193" spans="2:5" x14ac:dyDescent="0.15">
      <c r="B1193" s="6" t="s">
        <v>3121</v>
      </c>
      <c r="C1193" s="6" t="s">
        <v>3124</v>
      </c>
      <c r="D1193" s="6" t="s">
        <v>3125</v>
      </c>
      <c r="E1193" s="5" t="str">
        <f>HYPERLINK("https://www.esco-net.com/wcs/escort/ec/detail?hHinCd=EA354AK-3","EA354AK-3")</f>
        <v>EA354AK-3</v>
      </c>
    </row>
    <row r="1194" spans="2:5" x14ac:dyDescent="0.15">
      <c r="B1194" s="6" t="s">
        <v>3126</v>
      </c>
      <c r="C1194" s="6" t="s">
        <v>3127</v>
      </c>
      <c r="D1194" s="6" t="s">
        <v>3128</v>
      </c>
      <c r="E1194" s="5"/>
    </row>
    <row r="1195" spans="2:5" x14ac:dyDescent="0.15">
      <c r="B1195" s="6" t="s">
        <v>3129</v>
      </c>
      <c r="C1195" s="6" t="s">
        <v>3130</v>
      </c>
      <c r="D1195" s="6" t="s">
        <v>708</v>
      </c>
      <c r="E1195" s="5"/>
    </row>
    <row r="1196" spans="2:5" x14ac:dyDescent="0.15">
      <c r="B1196" s="6" t="s">
        <v>70</v>
      </c>
      <c r="C1196" s="6" t="s">
        <v>3131</v>
      </c>
      <c r="D1196" s="6" t="s">
        <v>3132</v>
      </c>
      <c r="E1196" s="5" t="str">
        <f>HYPERLINK("https://www.esco-net.com/wcs/escort/ec/detail?hHinCd=EA998VM-25A","EA998VM-25A")</f>
        <v>EA998VM-25A</v>
      </c>
    </row>
    <row r="1197" spans="2:5" x14ac:dyDescent="0.15">
      <c r="B1197" s="6" t="s">
        <v>70</v>
      </c>
      <c r="C1197" s="6" t="s">
        <v>3133</v>
      </c>
      <c r="D1197" s="6" t="s">
        <v>3134</v>
      </c>
      <c r="E1197" s="5" t="str">
        <f>HYPERLINK("https://www.esco-net.com/wcs/escort/ec/detail?hHinCd=EA998VM-28A","EA998VM-28A")</f>
        <v>EA998VM-28A</v>
      </c>
    </row>
    <row r="1198" spans="2:5" x14ac:dyDescent="0.15">
      <c r="B1198" s="6" t="s">
        <v>3135</v>
      </c>
      <c r="C1198" s="6" t="s">
        <v>3136</v>
      </c>
      <c r="D1198" s="6" t="s">
        <v>3137</v>
      </c>
      <c r="E1198" s="5" t="str">
        <f>HYPERLINK("https://www.esco-net.com/wcs/escort/ec/detail?hHinCd=EA998TZ-25","EA998TZ-25")</f>
        <v>EA998TZ-25</v>
      </c>
    </row>
    <row r="1199" spans="2:5" x14ac:dyDescent="0.15">
      <c r="B1199" s="6" t="s">
        <v>3135</v>
      </c>
      <c r="C1199" s="6" t="s">
        <v>3138</v>
      </c>
      <c r="D1199" s="6" t="s">
        <v>3139</v>
      </c>
      <c r="E1199" s="5" t="str">
        <f>HYPERLINK("https://www.esco-net.com/wcs/escort/ec/detail?hHinCd=EA998VM-23.5A","EA998VM-23.5A")</f>
        <v>EA998VM-23.5A</v>
      </c>
    </row>
    <row r="1200" spans="2:5" x14ac:dyDescent="0.15">
      <c r="B1200" s="6" t="s">
        <v>3135</v>
      </c>
      <c r="C1200" s="6" t="s">
        <v>3140</v>
      </c>
      <c r="D1200" s="6" t="s">
        <v>3141</v>
      </c>
      <c r="E1200" s="5" t="str">
        <f>HYPERLINK("https://www.esco-net.com/wcs/escort/ec/detail?hHinCd=EA998YA-24.5B","EA998YA-24.5B")</f>
        <v>EA998YA-24.5B</v>
      </c>
    </row>
    <row r="1201" spans="2:5" x14ac:dyDescent="0.15">
      <c r="B1201" s="6" t="s">
        <v>290</v>
      </c>
      <c r="C1201" s="6" t="s">
        <v>3142</v>
      </c>
      <c r="D1201" s="6" t="s">
        <v>3143</v>
      </c>
      <c r="E1201" s="5" t="str">
        <f>HYPERLINK("https://www.esco-net.com/wcs/escort/ec/detail?hHinCd=EA910ZE-7","EA910ZE-7")</f>
        <v>EA910ZE-7</v>
      </c>
    </row>
    <row r="1202" spans="2:5" x14ac:dyDescent="0.15">
      <c r="B1202" s="6" t="s">
        <v>290</v>
      </c>
      <c r="C1202" s="6" t="s">
        <v>3144</v>
      </c>
      <c r="D1202" s="6" t="s">
        <v>3145</v>
      </c>
      <c r="E1202" s="5" t="str">
        <f>HYPERLINK("https://www.esco-net.com/wcs/escort/ec/detail?hHinCd=EA998VJ-275","EA998VJ-275")</f>
        <v>EA998VJ-275</v>
      </c>
    </row>
    <row r="1203" spans="2:5" x14ac:dyDescent="0.15">
      <c r="B1203" s="6" t="s">
        <v>290</v>
      </c>
      <c r="C1203" s="6" t="s">
        <v>3146</v>
      </c>
      <c r="D1203" s="6" t="s">
        <v>3147</v>
      </c>
      <c r="E1203" s="5" t="str">
        <f>HYPERLINK("https://www.esco-net.com/wcs/escort/ec/detail?hHinCd=EA998WB-25.5B","EA998WB-25.5B")</f>
        <v>EA998WB-25.5B</v>
      </c>
    </row>
    <row r="1204" spans="2:5" x14ac:dyDescent="0.15">
      <c r="B1204" s="6" t="s">
        <v>290</v>
      </c>
      <c r="C1204" s="6" t="s">
        <v>3148</v>
      </c>
      <c r="D1204" s="6" t="s">
        <v>3149</v>
      </c>
      <c r="E1204" s="5" t="str">
        <f>HYPERLINK("https://www.esco-net.com/wcs/escort/ec/detail?hHinCd=EA998WB-26B","EA998WB-26B")</f>
        <v>EA998WB-26B</v>
      </c>
    </row>
    <row r="1205" spans="2:5" x14ac:dyDescent="0.15">
      <c r="B1205" s="6" t="s">
        <v>290</v>
      </c>
      <c r="C1205" s="6" t="s">
        <v>3150</v>
      </c>
      <c r="D1205" s="6" t="s">
        <v>3151</v>
      </c>
      <c r="E1205" s="5" t="str">
        <f>HYPERLINK("https://www.esco-net.com/wcs/escort/ec/detail?hHinCd=EA998WB-28B","EA998WB-28B")</f>
        <v>EA998WB-28B</v>
      </c>
    </row>
    <row r="1206" spans="2:5" x14ac:dyDescent="0.15">
      <c r="B1206" s="6" t="s">
        <v>291</v>
      </c>
      <c r="C1206" s="6" t="s">
        <v>3152</v>
      </c>
      <c r="D1206" s="6" t="s">
        <v>3153</v>
      </c>
      <c r="E1206" s="5" t="str">
        <f>HYPERLINK("https://www.esco-net.com/wcs/escort/ec/detail?hHinCd=EA910MB-25.5","EA910MB-25.5")</f>
        <v>EA910MB-25.5</v>
      </c>
    </row>
    <row r="1207" spans="2:5" x14ac:dyDescent="0.15">
      <c r="B1207" s="6" t="s">
        <v>291</v>
      </c>
      <c r="C1207" s="6" t="s">
        <v>3154</v>
      </c>
      <c r="D1207" s="6" t="s">
        <v>3155</v>
      </c>
      <c r="E1207" s="5" t="str">
        <f>HYPERLINK("https://www.esco-net.com/wcs/escort/ec/detail?hHinCd=EA910LV-26A","EA910LV-26A")</f>
        <v>EA910LV-26A</v>
      </c>
    </row>
    <row r="1208" spans="2:5" x14ac:dyDescent="0.15">
      <c r="B1208" s="6" t="s">
        <v>3156</v>
      </c>
      <c r="C1208" s="6" t="s">
        <v>3157</v>
      </c>
      <c r="D1208" s="6" t="s">
        <v>3158</v>
      </c>
      <c r="E1208" s="5"/>
    </row>
    <row r="1209" spans="2:5" x14ac:dyDescent="0.15">
      <c r="B1209" s="6" t="s">
        <v>3156</v>
      </c>
      <c r="C1209" s="6" t="s">
        <v>3159</v>
      </c>
      <c r="D1209" s="6" t="s">
        <v>3160</v>
      </c>
      <c r="E1209" s="5" t="str">
        <f>HYPERLINK("https://www.esco-net.com/wcs/escort/ec/detail?hHinCd=EA996YH-1A","EA996YH-1A")</f>
        <v>EA996YH-1A</v>
      </c>
    </row>
    <row r="1210" spans="2:5" x14ac:dyDescent="0.15">
      <c r="B1210" s="6" t="s">
        <v>71</v>
      </c>
      <c r="C1210" s="6" t="s">
        <v>3161</v>
      </c>
      <c r="D1210" s="6" t="s">
        <v>3162</v>
      </c>
      <c r="E1210" s="5" t="str">
        <f>HYPERLINK("https://www.esco-net.com/wcs/escort/ec/detail?hHinCd=EA996XB-72","EA996XB-72")</f>
        <v>EA996XB-72</v>
      </c>
    </row>
    <row r="1211" spans="2:5" x14ac:dyDescent="0.15">
      <c r="B1211" s="6" t="s">
        <v>71</v>
      </c>
      <c r="C1211" s="6" t="s">
        <v>3163</v>
      </c>
      <c r="D1211" s="6" t="s">
        <v>3164</v>
      </c>
      <c r="E1211" s="5" t="str">
        <f>HYPERLINK("https://www.esco-net.com/wcs/escort/ec/detail?hHinCd=EA996XB-55A","EA996XB-55A")</f>
        <v>EA996XB-55A</v>
      </c>
    </row>
    <row r="1212" spans="2:5" x14ac:dyDescent="0.15">
      <c r="B1212" s="6" t="s">
        <v>71</v>
      </c>
      <c r="C1212" s="6" t="s">
        <v>3165</v>
      </c>
      <c r="D1212" s="6" t="s">
        <v>3166</v>
      </c>
      <c r="E1212" s="5" t="str">
        <f>HYPERLINK("https://www.esco-net.com/wcs/escort/ec/detail?hHinCd=EA996XZ-12","EA996XZ-12")</f>
        <v>EA996XZ-12</v>
      </c>
    </row>
    <row r="1213" spans="2:5" x14ac:dyDescent="0.15">
      <c r="B1213" s="6" t="s">
        <v>3167</v>
      </c>
      <c r="C1213" s="6" t="s">
        <v>3168</v>
      </c>
      <c r="D1213" s="6" t="s">
        <v>3169</v>
      </c>
      <c r="E1213" s="5" t="str">
        <f>HYPERLINK("https://www.esco-net.com/wcs/escort/ec/detail?hHinCd=EA355AE-11","EA355AE-11")</f>
        <v>EA355AE-11</v>
      </c>
    </row>
    <row r="1214" spans="2:5" x14ac:dyDescent="0.15">
      <c r="B1214" s="6" t="s">
        <v>3170</v>
      </c>
      <c r="C1214" s="6" t="s">
        <v>3171</v>
      </c>
      <c r="D1214" s="6" t="s">
        <v>3172</v>
      </c>
      <c r="E1214" s="5" t="str">
        <f>HYPERLINK("https://www.esco-net.com/wcs/escort/ec/detail?hHinCd=EA915EA-12","EA915EA-12")</f>
        <v>EA915EA-12</v>
      </c>
    </row>
    <row r="1215" spans="2:5" x14ac:dyDescent="0.15">
      <c r="B1215" s="6" t="s">
        <v>3173</v>
      </c>
      <c r="C1215" s="6" t="s">
        <v>3174</v>
      </c>
      <c r="D1215" s="6" t="s">
        <v>3175</v>
      </c>
      <c r="E1215" s="5" t="str">
        <f>HYPERLINK("https://www.esco-net.com/wcs/escort/ec/detail?hHinCd=EA915ER-1","EA915ER-1")</f>
        <v>EA915ER-1</v>
      </c>
    </row>
    <row r="1216" spans="2:5" x14ac:dyDescent="0.15">
      <c r="B1216" s="6" t="s">
        <v>3173</v>
      </c>
      <c r="C1216" s="6" t="s">
        <v>3176</v>
      </c>
      <c r="D1216" s="6" t="s">
        <v>3177</v>
      </c>
      <c r="E1216" s="5"/>
    </row>
    <row r="1217" spans="2:5" x14ac:dyDescent="0.15">
      <c r="B1217" s="6" t="s">
        <v>3173</v>
      </c>
      <c r="C1217" s="6" t="s">
        <v>3178</v>
      </c>
      <c r="D1217" s="6" t="s">
        <v>3179</v>
      </c>
      <c r="E1217" s="5"/>
    </row>
    <row r="1218" spans="2:5" x14ac:dyDescent="0.15">
      <c r="B1218" s="6" t="s">
        <v>3173</v>
      </c>
      <c r="C1218" s="6" t="s">
        <v>3180</v>
      </c>
      <c r="D1218" s="6" t="s">
        <v>3181</v>
      </c>
      <c r="E1218" s="5"/>
    </row>
    <row r="1219" spans="2:5" x14ac:dyDescent="0.15">
      <c r="B1219" s="6" t="s">
        <v>292</v>
      </c>
      <c r="C1219" s="6" t="s">
        <v>3182</v>
      </c>
      <c r="D1219" s="6" t="s">
        <v>3183</v>
      </c>
      <c r="E1219" s="5" t="str">
        <f>HYPERLINK("https://www.esco-net.com/wcs/escort/ec/detail?hHinCd=EA915GE-9","EA915GE-9")</f>
        <v>EA915GE-9</v>
      </c>
    </row>
    <row r="1220" spans="2:5" x14ac:dyDescent="0.15">
      <c r="B1220" s="6" t="s">
        <v>72</v>
      </c>
      <c r="C1220" s="6" t="s">
        <v>3184</v>
      </c>
      <c r="D1220" s="6" t="s">
        <v>3185</v>
      </c>
      <c r="E1220" s="5"/>
    </row>
    <row r="1221" spans="2:5" x14ac:dyDescent="0.15">
      <c r="B1221" s="6" t="s">
        <v>72</v>
      </c>
      <c r="C1221" s="6" t="s">
        <v>3186</v>
      </c>
      <c r="D1221" s="6" t="s">
        <v>3187</v>
      </c>
      <c r="E1221" s="5"/>
    </row>
    <row r="1222" spans="2:5" x14ac:dyDescent="0.15">
      <c r="B1222" s="6" t="s">
        <v>72</v>
      </c>
      <c r="C1222" s="6" t="s">
        <v>3188</v>
      </c>
      <c r="D1222" s="6" t="s">
        <v>3189</v>
      </c>
      <c r="E1222" s="5"/>
    </row>
    <row r="1223" spans="2:5" x14ac:dyDescent="0.15">
      <c r="B1223" s="6" t="s">
        <v>23</v>
      </c>
      <c r="C1223" s="6" t="s">
        <v>3190</v>
      </c>
      <c r="D1223" s="6" t="s">
        <v>3191</v>
      </c>
      <c r="E1223" s="5"/>
    </row>
    <row r="1224" spans="2:5" x14ac:dyDescent="0.15">
      <c r="B1224" s="6" t="s">
        <v>73</v>
      </c>
      <c r="C1224" s="6" t="s">
        <v>3192</v>
      </c>
      <c r="D1224" s="6" t="s">
        <v>3189</v>
      </c>
      <c r="E1224" s="5"/>
    </row>
    <row r="1225" spans="2:5" x14ac:dyDescent="0.15">
      <c r="B1225" s="6" t="s">
        <v>293</v>
      </c>
      <c r="C1225" s="6" t="s">
        <v>3193</v>
      </c>
      <c r="D1225" s="6" t="s">
        <v>3194</v>
      </c>
      <c r="E1225" s="5"/>
    </row>
    <row r="1226" spans="2:5" x14ac:dyDescent="0.15">
      <c r="B1226" s="6" t="s">
        <v>118</v>
      </c>
      <c r="C1226" s="6" t="s">
        <v>3195</v>
      </c>
      <c r="D1226" s="6" t="s">
        <v>294</v>
      </c>
      <c r="E1226" s="5" t="str">
        <f>HYPERLINK("https://www.esco-net.com/wcs/escort/ec/detail?hHinCd=EA983R-23","EA983R-23")</f>
        <v>EA983R-23</v>
      </c>
    </row>
    <row r="1227" spans="2:5" x14ac:dyDescent="0.15">
      <c r="B1227" s="6" t="s">
        <v>295</v>
      </c>
      <c r="C1227" s="6" t="s">
        <v>3196</v>
      </c>
      <c r="D1227" s="6" t="s">
        <v>3197</v>
      </c>
      <c r="E1227" s="5" t="str">
        <f>HYPERLINK("https://www.esco-net.com/wcs/escort/ec/detail?hHinCd=EA983R-71","EA983R-71")</f>
        <v>EA983R-71</v>
      </c>
    </row>
    <row r="1228" spans="2:5" x14ac:dyDescent="0.15">
      <c r="B1228" s="6" t="s">
        <v>295</v>
      </c>
      <c r="C1228" s="6" t="s">
        <v>3198</v>
      </c>
      <c r="D1228" s="6" t="s">
        <v>3199</v>
      </c>
      <c r="E1228" s="5" t="str">
        <f>HYPERLINK("https://www.esco-net.com/wcs/escort/ec/detail?hHinCd=EA983R-102","EA983R-102")</f>
        <v>EA983R-102</v>
      </c>
    </row>
    <row r="1229" spans="2:5" x14ac:dyDescent="0.15">
      <c r="B1229" s="6" t="s">
        <v>295</v>
      </c>
      <c r="C1229" s="6" t="s">
        <v>3200</v>
      </c>
      <c r="D1229" s="6" t="s">
        <v>3201</v>
      </c>
      <c r="E1229" s="5"/>
    </row>
    <row r="1230" spans="2:5" x14ac:dyDescent="0.15">
      <c r="B1230" s="6" t="s">
        <v>295</v>
      </c>
      <c r="C1230" s="6" t="s">
        <v>3202</v>
      </c>
      <c r="D1230" s="6" t="s">
        <v>3203</v>
      </c>
      <c r="E1230" s="5"/>
    </row>
    <row r="1231" spans="2:5" x14ac:dyDescent="0.15">
      <c r="B1231" s="6" t="s">
        <v>296</v>
      </c>
      <c r="C1231" s="6" t="s">
        <v>3204</v>
      </c>
      <c r="D1231" s="6" t="s">
        <v>3205</v>
      </c>
      <c r="E1231" s="5" t="str">
        <f>HYPERLINK("https://www.esco-net.com/wcs/escort/ec/detail?hHinCd=EA983RS-31","EA983RS-31")</f>
        <v>EA983RS-31</v>
      </c>
    </row>
    <row r="1232" spans="2:5" x14ac:dyDescent="0.15">
      <c r="B1232" s="6" t="s">
        <v>3206</v>
      </c>
      <c r="C1232" s="6" t="s">
        <v>3207</v>
      </c>
      <c r="D1232" s="6" t="s">
        <v>3208</v>
      </c>
      <c r="E1232" s="5" t="str">
        <f>HYPERLINK("https://www.esco-net.com/wcs/escort/ec/detail?hHinCd=EA998FF-21","EA998FF-21")</f>
        <v>EA998FF-21</v>
      </c>
    </row>
    <row r="1233" spans="2:5" x14ac:dyDescent="0.15">
      <c r="B1233" s="6" t="s">
        <v>3209</v>
      </c>
      <c r="C1233" s="6" t="s">
        <v>3210</v>
      </c>
      <c r="D1233" s="6" t="s">
        <v>3211</v>
      </c>
      <c r="E1233" s="5" t="str">
        <f>HYPERLINK("https://www.esco-net.com/wcs/escort/ec/detail?hHinCd=EA998PE-11B","EA998PE-11B")</f>
        <v>EA998PE-11B</v>
      </c>
    </row>
    <row r="1234" spans="2:5" x14ac:dyDescent="0.15">
      <c r="B1234" s="6" t="s">
        <v>3212</v>
      </c>
      <c r="C1234" s="6" t="s">
        <v>3213</v>
      </c>
      <c r="D1234" s="6" t="s">
        <v>3214</v>
      </c>
      <c r="E1234" s="5" t="str">
        <f>HYPERLINK("https://www.esco-net.com/wcs/escort/ec/detail?hHinCd=EA983RM-65","EA983RM-65")</f>
        <v>EA983RM-65</v>
      </c>
    </row>
    <row r="1235" spans="2:5" x14ac:dyDescent="0.15">
      <c r="B1235" s="6" t="s">
        <v>3212</v>
      </c>
      <c r="C1235" s="6" t="s">
        <v>3215</v>
      </c>
      <c r="D1235" s="6" t="s">
        <v>3216</v>
      </c>
      <c r="E1235" s="5" t="str">
        <f>HYPERLINK("https://www.esco-net.com/wcs/escort/ec/detail?hHinCd=EA983RM-62","EA983RM-62")</f>
        <v>EA983RM-62</v>
      </c>
    </row>
    <row r="1236" spans="2:5" x14ac:dyDescent="0.15">
      <c r="B1236" s="6" t="s">
        <v>3212</v>
      </c>
      <c r="C1236" s="6" t="s">
        <v>3217</v>
      </c>
      <c r="D1236" s="6" t="s">
        <v>3218</v>
      </c>
      <c r="E1236" s="5" t="str">
        <f>HYPERLINK("https://www.esco-net.com/wcs/escort/ec/detail?hHinCd=EA983RM-61","EA983RM-61")</f>
        <v>EA983RM-61</v>
      </c>
    </row>
    <row r="1237" spans="2:5" x14ac:dyDescent="0.15">
      <c r="B1237" s="6" t="s">
        <v>3212</v>
      </c>
      <c r="C1237" s="6" t="s">
        <v>3219</v>
      </c>
      <c r="D1237" s="6" t="s">
        <v>3220</v>
      </c>
      <c r="E1237" s="5" t="str">
        <f>HYPERLINK("https://www.esco-net.com/wcs/escort/ec/detail?hHinCd=EA983RM-137","EA983RM-137")</f>
        <v>EA983RM-137</v>
      </c>
    </row>
    <row r="1238" spans="2:5" x14ac:dyDescent="0.15">
      <c r="B1238" s="6" t="s">
        <v>3221</v>
      </c>
      <c r="C1238" s="6" t="s">
        <v>3222</v>
      </c>
      <c r="D1238" s="6" t="s">
        <v>3223</v>
      </c>
      <c r="E1238" s="5" t="str">
        <f>HYPERLINK("https://www.esco-net.com/wcs/escort/ec/detail?hHinCd=EA983FR-200","EA983FR-200")</f>
        <v>EA983FR-200</v>
      </c>
    </row>
    <row r="1239" spans="2:5" x14ac:dyDescent="0.15">
      <c r="B1239" s="6" t="s">
        <v>297</v>
      </c>
      <c r="C1239" s="6" t="s">
        <v>3224</v>
      </c>
      <c r="D1239" s="6" t="s">
        <v>3225</v>
      </c>
      <c r="E1239" s="5"/>
    </row>
    <row r="1240" spans="2:5" x14ac:dyDescent="0.15">
      <c r="B1240" s="6" t="s">
        <v>3226</v>
      </c>
      <c r="C1240" s="6" t="s">
        <v>3227</v>
      </c>
      <c r="D1240" s="6" t="s">
        <v>3228</v>
      </c>
      <c r="E1240" s="5"/>
    </row>
    <row r="1241" spans="2:5" x14ac:dyDescent="0.15">
      <c r="B1241" s="6" t="s">
        <v>3226</v>
      </c>
      <c r="C1241" s="6" t="s">
        <v>3229</v>
      </c>
      <c r="D1241" s="6" t="s">
        <v>3230</v>
      </c>
      <c r="E1241" s="5" t="str">
        <f>HYPERLINK("https://www.esco-net.com/wcs/escort/ec/detail?hHinCd=EA983FS-304","EA983FS-304")</f>
        <v>EA983FS-304</v>
      </c>
    </row>
    <row r="1242" spans="2:5" x14ac:dyDescent="0.15">
      <c r="B1242" s="6" t="s">
        <v>3231</v>
      </c>
      <c r="C1242" s="6" t="s">
        <v>3232</v>
      </c>
      <c r="D1242" s="6" t="s">
        <v>3233</v>
      </c>
      <c r="E1242" s="5" t="str">
        <f>HYPERLINK("https://www.esco-net.com/wcs/escort/ec/detail?hHinCd=EA983FT-186","EA983FT-186")</f>
        <v>EA983FT-186</v>
      </c>
    </row>
    <row r="1243" spans="2:5" x14ac:dyDescent="0.15">
      <c r="B1243" s="6" t="s">
        <v>3234</v>
      </c>
      <c r="C1243" s="6" t="s">
        <v>3235</v>
      </c>
      <c r="D1243" s="6" t="s">
        <v>3236</v>
      </c>
      <c r="E1243" s="5" t="str">
        <f>HYPERLINK("https://www.esco-net.com/wcs/escort/ec/detail?hHinCd=EA983FT-841A","EA983FT-841A")</f>
        <v>EA983FT-841A</v>
      </c>
    </row>
    <row r="1244" spans="2:5" x14ac:dyDescent="0.15">
      <c r="B1244" s="6" t="s">
        <v>3237</v>
      </c>
      <c r="C1244" s="6" t="s">
        <v>3238</v>
      </c>
      <c r="D1244" s="6" t="s">
        <v>3239</v>
      </c>
      <c r="E1244" s="5" t="str">
        <f>HYPERLINK("https://www.esco-net.com/wcs/escort/ec/detail?hHinCd=EA983FV-190","EA983FV-190")</f>
        <v>EA983FV-190</v>
      </c>
    </row>
    <row r="1245" spans="2:5" x14ac:dyDescent="0.15">
      <c r="B1245" s="6" t="s">
        <v>3240</v>
      </c>
      <c r="C1245" s="6" t="s">
        <v>3241</v>
      </c>
      <c r="D1245" s="6" t="s">
        <v>3242</v>
      </c>
      <c r="E1245" s="5"/>
    </row>
    <row r="1246" spans="2:5" x14ac:dyDescent="0.15">
      <c r="B1246" s="6" t="s">
        <v>3243</v>
      </c>
      <c r="C1246" s="6" t="s">
        <v>3244</v>
      </c>
      <c r="D1246" s="6" t="s">
        <v>3245</v>
      </c>
      <c r="E1246" s="5" t="str">
        <f>HYPERLINK("https://www.esco-net.com/wcs/escort/ec/detail?hHinCd=EA952BL-4","EA952BL-4")</f>
        <v>EA952BL-4</v>
      </c>
    </row>
    <row r="1247" spans="2:5" x14ac:dyDescent="0.15">
      <c r="B1247" s="6" t="s">
        <v>298</v>
      </c>
      <c r="C1247" s="6" t="s">
        <v>3246</v>
      </c>
      <c r="D1247" s="6" t="s">
        <v>3247</v>
      </c>
      <c r="E1247" s="5" t="str">
        <f>HYPERLINK("https://www.esco-net.com/wcs/escort/ec/detail?hHinCd=EA983FT-172","EA983FT-172")</f>
        <v>EA983FT-172</v>
      </c>
    </row>
    <row r="1248" spans="2:5" x14ac:dyDescent="0.15">
      <c r="B1248" s="6" t="s">
        <v>3248</v>
      </c>
      <c r="C1248" s="6" t="s">
        <v>3249</v>
      </c>
      <c r="D1248" s="6" t="s">
        <v>3250</v>
      </c>
      <c r="E1248" s="5"/>
    </row>
    <row r="1249" spans="2:5" x14ac:dyDescent="0.15">
      <c r="B1249" s="6" t="s">
        <v>299</v>
      </c>
      <c r="C1249" s="6" t="s">
        <v>3251</v>
      </c>
      <c r="D1249" s="6" t="s">
        <v>3252</v>
      </c>
      <c r="E1249" s="5" t="str">
        <f>HYPERLINK("https://www.esco-net.com/wcs/escort/ec/detail?hHinCd=EA766ZJ-4","EA766ZJ-4")</f>
        <v>EA766ZJ-4</v>
      </c>
    </row>
    <row r="1250" spans="2:5" x14ac:dyDescent="0.15">
      <c r="B1250" s="6" t="s">
        <v>3253</v>
      </c>
      <c r="C1250" s="6" t="s">
        <v>3254</v>
      </c>
      <c r="D1250" s="6" t="s">
        <v>3255</v>
      </c>
      <c r="E1250" s="5"/>
    </row>
    <row r="1251" spans="2:5" x14ac:dyDescent="0.15">
      <c r="B1251" s="6" t="s">
        <v>3256</v>
      </c>
      <c r="C1251" s="6" t="s">
        <v>3257</v>
      </c>
      <c r="D1251" s="6" t="s">
        <v>3258</v>
      </c>
      <c r="E1251" s="5"/>
    </row>
    <row r="1252" spans="2:5" x14ac:dyDescent="0.15">
      <c r="B1252" s="6" t="s">
        <v>300</v>
      </c>
      <c r="C1252" s="6" t="s">
        <v>3259</v>
      </c>
      <c r="D1252" s="6" t="s">
        <v>3260</v>
      </c>
      <c r="E1252" s="5" t="str">
        <f>HYPERLINK("https://www.esco-net.com/wcs/escort/ec/detail?hHinCd=EA983CP-1","EA983CP-1")</f>
        <v>EA983CP-1</v>
      </c>
    </row>
    <row r="1253" spans="2:5" x14ac:dyDescent="0.15">
      <c r="B1253" s="6" t="s">
        <v>301</v>
      </c>
      <c r="C1253" s="6" t="s">
        <v>3261</v>
      </c>
      <c r="D1253" s="6" t="s">
        <v>3262</v>
      </c>
      <c r="E1253" s="5" t="str">
        <f>HYPERLINK("https://www.esco-net.com/wcs/escort/ec/detail?hHinCd=EA983FE-276","EA983FE-276")</f>
        <v>EA983FE-276</v>
      </c>
    </row>
    <row r="1254" spans="2:5" x14ac:dyDescent="0.15">
      <c r="B1254" s="6" t="s">
        <v>301</v>
      </c>
      <c r="C1254" s="6" t="s">
        <v>3263</v>
      </c>
      <c r="D1254" s="6" t="s">
        <v>3264</v>
      </c>
      <c r="E1254" s="5"/>
    </row>
    <row r="1255" spans="2:5" x14ac:dyDescent="0.15">
      <c r="B1255" s="6" t="s">
        <v>3265</v>
      </c>
      <c r="C1255" s="6" t="s">
        <v>3266</v>
      </c>
      <c r="D1255" s="6" t="s">
        <v>3267</v>
      </c>
      <c r="E1255" s="5"/>
    </row>
    <row r="1256" spans="2:5" x14ac:dyDescent="0.15">
      <c r="B1256" s="6" t="s">
        <v>119</v>
      </c>
      <c r="C1256" s="6" t="s">
        <v>3268</v>
      </c>
      <c r="D1256" s="6" t="s">
        <v>3269</v>
      </c>
      <c r="E1256" s="5"/>
    </row>
    <row r="1257" spans="2:5" x14ac:dyDescent="0.15">
      <c r="B1257" s="6" t="s">
        <v>119</v>
      </c>
      <c r="C1257" s="6" t="s">
        <v>3270</v>
      </c>
      <c r="D1257" s="6" t="s">
        <v>3271</v>
      </c>
      <c r="E1257" s="5" t="str">
        <f>HYPERLINK("https://www.esco-net.com/wcs/escort/ec/detail?hHinCd=EA983FF-127","EA983FF-127")</f>
        <v>EA983FF-127</v>
      </c>
    </row>
    <row r="1258" spans="2:5" x14ac:dyDescent="0.15">
      <c r="B1258" s="6" t="s">
        <v>3272</v>
      </c>
      <c r="C1258" s="6" t="s">
        <v>3273</v>
      </c>
      <c r="D1258" s="6" t="s">
        <v>3274</v>
      </c>
      <c r="E1258" s="5"/>
    </row>
    <row r="1259" spans="2:5" x14ac:dyDescent="0.15">
      <c r="B1259" s="6" t="s">
        <v>302</v>
      </c>
      <c r="C1259" s="6" t="s">
        <v>3275</v>
      </c>
      <c r="D1259" s="6" t="s">
        <v>3276</v>
      </c>
      <c r="E1259" s="5"/>
    </row>
    <row r="1260" spans="2:5" x14ac:dyDescent="0.15">
      <c r="B1260" s="6" t="s">
        <v>3277</v>
      </c>
      <c r="C1260" s="6" t="s">
        <v>3278</v>
      </c>
      <c r="D1260" s="6" t="s">
        <v>3279</v>
      </c>
      <c r="E1260" s="5"/>
    </row>
    <row r="1261" spans="2:5" x14ac:dyDescent="0.15">
      <c r="B1261" s="6" t="s">
        <v>3277</v>
      </c>
      <c r="C1261" s="6" t="s">
        <v>3280</v>
      </c>
      <c r="D1261" s="6" t="s">
        <v>3281</v>
      </c>
      <c r="E1261" s="5" t="str">
        <f>HYPERLINK("https://www.esco-net.com/wcs/escort/ec/detail?hHinCd=EA864CD-571A","EA864CD-571A")</f>
        <v>EA864CD-571A</v>
      </c>
    </row>
    <row r="1262" spans="2:5" x14ac:dyDescent="0.15">
      <c r="B1262" s="6" t="s">
        <v>3282</v>
      </c>
      <c r="C1262" s="6" t="s">
        <v>3283</v>
      </c>
      <c r="D1262" s="6" t="s">
        <v>3284</v>
      </c>
      <c r="E1262" s="5"/>
    </row>
    <row r="1263" spans="2:5" x14ac:dyDescent="0.15">
      <c r="B1263" s="6" t="s">
        <v>3282</v>
      </c>
      <c r="C1263" s="6" t="s">
        <v>3285</v>
      </c>
      <c r="D1263" s="6" t="s">
        <v>3286</v>
      </c>
      <c r="E1263" s="5"/>
    </row>
    <row r="1264" spans="2:5" x14ac:dyDescent="0.15">
      <c r="B1264" s="6" t="s">
        <v>3282</v>
      </c>
      <c r="C1264" s="6" t="s">
        <v>3287</v>
      </c>
      <c r="D1264" s="6" t="s">
        <v>3288</v>
      </c>
      <c r="E1264" s="5" t="str">
        <f>HYPERLINK("https://www.esco-net.com/wcs/escort/ec/detail?hHinCd=EA864CD-622A","EA864CD-622A")</f>
        <v>EA864CD-622A</v>
      </c>
    </row>
    <row r="1265" spans="2:5" x14ac:dyDescent="0.15">
      <c r="B1265" s="6" t="s">
        <v>3289</v>
      </c>
      <c r="C1265" s="6" t="s">
        <v>3290</v>
      </c>
      <c r="D1265" s="6" t="s">
        <v>3291</v>
      </c>
      <c r="E1265" s="5" t="str">
        <f>HYPERLINK("https://www.esco-net.com/wcs/escort/ec/detail?hHinCd=EA864CA-27C","EA864CA-27C")</f>
        <v>EA864CA-27C</v>
      </c>
    </row>
    <row r="1266" spans="2:5" x14ac:dyDescent="0.15">
      <c r="B1266" s="6" t="s">
        <v>120</v>
      </c>
      <c r="C1266" s="6" t="s">
        <v>3292</v>
      </c>
      <c r="D1266" s="6" t="s">
        <v>3293</v>
      </c>
      <c r="E1266" s="5"/>
    </row>
    <row r="1267" spans="2:5" x14ac:dyDescent="0.15">
      <c r="B1267" s="6" t="s">
        <v>3294</v>
      </c>
      <c r="C1267" s="6" t="s">
        <v>3295</v>
      </c>
      <c r="D1267" s="6" t="s">
        <v>3296</v>
      </c>
      <c r="E1267" s="5"/>
    </row>
    <row r="1268" spans="2:5" x14ac:dyDescent="0.15">
      <c r="B1268" s="6" t="s">
        <v>3297</v>
      </c>
      <c r="C1268" s="6" t="s">
        <v>3298</v>
      </c>
      <c r="D1268" s="6" t="s">
        <v>3299</v>
      </c>
      <c r="E1268" s="5" t="str">
        <f>HYPERLINK("https://www.esco-net.com/wcs/escort/ec/detail?hHinCd=EA983SG-35","EA983SG-35")</f>
        <v>EA983SG-35</v>
      </c>
    </row>
    <row r="1269" spans="2:5" x14ac:dyDescent="0.15">
      <c r="B1269" s="6" t="s">
        <v>3300</v>
      </c>
      <c r="C1269" s="6" t="s">
        <v>3301</v>
      </c>
      <c r="D1269" s="6" t="s">
        <v>3302</v>
      </c>
      <c r="E1269" s="5"/>
    </row>
    <row r="1270" spans="2:5" x14ac:dyDescent="0.15">
      <c r="B1270" s="6" t="s">
        <v>3303</v>
      </c>
      <c r="C1270" s="6" t="s">
        <v>3304</v>
      </c>
      <c r="D1270" s="6" t="s">
        <v>3305</v>
      </c>
      <c r="E1270" s="5" t="str">
        <f>HYPERLINK("https://www.esco-net.com/wcs/escort/ec/detail?hHinCd=EA916ZL-44","EA916ZL-44")</f>
        <v>EA916ZL-44</v>
      </c>
    </row>
    <row r="1271" spans="2:5" x14ac:dyDescent="0.15">
      <c r="B1271" s="6" t="s">
        <v>3306</v>
      </c>
      <c r="C1271" s="6" t="s">
        <v>3307</v>
      </c>
      <c r="D1271" s="6" t="s">
        <v>3308</v>
      </c>
      <c r="E1271" s="5" t="str">
        <f>HYPERLINK("https://www.esco-net.com/wcs/escort/ec/detail?hHinCd=EA916ZD-15A","EA916ZD-15A")</f>
        <v>EA916ZD-15A</v>
      </c>
    </row>
    <row r="1272" spans="2:5" x14ac:dyDescent="0.15">
      <c r="B1272" s="6" t="s">
        <v>3306</v>
      </c>
      <c r="C1272" s="6" t="s">
        <v>3309</v>
      </c>
      <c r="D1272" s="6" t="s">
        <v>3310</v>
      </c>
      <c r="E1272" s="5"/>
    </row>
    <row r="1273" spans="2:5" x14ac:dyDescent="0.15">
      <c r="B1273" s="6" t="s">
        <v>303</v>
      </c>
      <c r="C1273" s="6" t="s">
        <v>3311</v>
      </c>
      <c r="D1273" s="6" t="s">
        <v>3312</v>
      </c>
      <c r="E1273" s="5" t="str">
        <f>HYPERLINK("https://www.esco-net.com/wcs/escort/ec/detail?hHinCd=EA916ZD-102","EA916ZD-102")</f>
        <v>EA916ZD-102</v>
      </c>
    </row>
    <row r="1274" spans="2:5" x14ac:dyDescent="0.15">
      <c r="B1274" s="6" t="s">
        <v>3313</v>
      </c>
      <c r="C1274" s="6" t="s">
        <v>3314</v>
      </c>
      <c r="D1274" s="6" t="s">
        <v>3315</v>
      </c>
      <c r="E1274" s="5" t="str">
        <f>HYPERLINK("https://www.esco-net.com/wcs/escort/ec/detail?hHinCd=EA638JG-161","EA638JG-161")</f>
        <v>EA638JG-161</v>
      </c>
    </row>
    <row r="1275" spans="2:5" x14ac:dyDescent="0.15">
      <c r="B1275" s="6" t="s">
        <v>121</v>
      </c>
      <c r="C1275" s="6" t="s">
        <v>3316</v>
      </c>
      <c r="D1275" s="6" t="s">
        <v>3317</v>
      </c>
      <c r="E1275" s="5"/>
    </row>
    <row r="1276" spans="2:5" x14ac:dyDescent="0.15">
      <c r="B1276" s="6" t="s">
        <v>304</v>
      </c>
      <c r="C1276" s="6" t="s">
        <v>3318</v>
      </c>
      <c r="D1276" s="6" t="s">
        <v>3319</v>
      </c>
      <c r="E1276" s="5"/>
    </row>
    <row r="1277" spans="2:5" x14ac:dyDescent="0.15">
      <c r="B1277" s="6" t="s">
        <v>304</v>
      </c>
      <c r="C1277" s="6" t="s">
        <v>3320</v>
      </c>
      <c r="D1277" s="6" t="s">
        <v>3321</v>
      </c>
      <c r="E1277" s="5" t="str">
        <f>HYPERLINK("https://www.esco-net.com/wcs/escort/ec/detail?hHinCd=EA591HD-3","EA591HD-3")</f>
        <v>EA591HD-3</v>
      </c>
    </row>
    <row r="1278" spans="2:5" x14ac:dyDescent="0.15">
      <c r="B1278" s="6" t="s">
        <v>304</v>
      </c>
      <c r="C1278" s="6" t="s">
        <v>3322</v>
      </c>
      <c r="D1278" s="6" t="s">
        <v>3323</v>
      </c>
      <c r="E1278" s="5" t="str">
        <f>HYPERLINK("https://www.esco-net.com/wcs/escort/ec/detail?hHinCd=EA591HC-12","EA591HC-12")</f>
        <v>EA591HC-12</v>
      </c>
    </row>
    <row r="1279" spans="2:5" x14ac:dyDescent="0.15">
      <c r="B1279" s="6" t="s">
        <v>305</v>
      </c>
      <c r="C1279" s="6" t="s">
        <v>3324</v>
      </c>
      <c r="D1279" s="6" t="s">
        <v>3325</v>
      </c>
      <c r="E1279" s="5" t="str">
        <f>HYPERLINK("https://www.esco-net.com/wcs/escort/ec/detail?hHinCd=EA864CL-1A","EA864CL-1A")</f>
        <v>EA864CL-1A</v>
      </c>
    </row>
    <row r="1280" spans="2:5" x14ac:dyDescent="0.15">
      <c r="B1280" s="6" t="s">
        <v>305</v>
      </c>
      <c r="C1280" s="6" t="s">
        <v>3326</v>
      </c>
      <c r="D1280" s="6" t="s">
        <v>3327</v>
      </c>
      <c r="E1280" s="5" t="str">
        <f>HYPERLINK("https://www.esco-net.com/wcs/escort/ec/detail?hHinCd=EA999MG-10A","EA999MG-10A")</f>
        <v>EA999MG-10A</v>
      </c>
    </row>
    <row r="1281" spans="2:5" x14ac:dyDescent="0.15">
      <c r="B1281" s="6" t="s">
        <v>3328</v>
      </c>
      <c r="C1281" s="6" t="s">
        <v>3329</v>
      </c>
      <c r="D1281" s="6" t="s">
        <v>3330</v>
      </c>
      <c r="E1281" s="5"/>
    </row>
    <row r="1282" spans="2:5" x14ac:dyDescent="0.15">
      <c r="B1282" s="6" t="s">
        <v>3331</v>
      </c>
      <c r="C1282" s="6" t="s">
        <v>3332</v>
      </c>
      <c r="D1282" s="6" t="s">
        <v>3333</v>
      </c>
      <c r="E1282" s="5"/>
    </row>
    <row r="1283" spans="2:5" x14ac:dyDescent="0.15">
      <c r="B1283" s="6" t="s">
        <v>3334</v>
      </c>
      <c r="C1283" s="6" t="s">
        <v>3335</v>
      </c>
      <c r="D1283" s="6" t="s">
        <v>3336</v>
      </c>
      <c r="E1283" s="5" t="str">
        <f>HYPERLINK("https://www.esco-net.com/wcs/escort/ec/detail?hHinCd=EA724Y-150A","EA724Y-150A")</f>
        <v>EA724Y-150A</v>
      </c>
    </row>
    <row r="1284" spans="2:5" x14ac:dyDescent="0.15">
      <c r="B1284" s="6" t="s">
        <v>3337</v>
      </c>
      <c r="C1284" s="6" t="s">
        <v>3338</v>
      </c>
      <c r="D1284" s="6" t="s">
        <v>3339</v>
      </c>
      <c r="E1284" s="5" t="str">
        <f>HYPERLINK("https://www.esco-net.com/wcs/escort/ec/detail?hHinCd=EA724YG-81","EA724YG-81")</f>
        <v>EA724YG-81</v>
      </c>
    </row>
    <row r="1285" spans="2:5" x14ac:dyDescent="0.15">
      <c r="B1285" s="6" t="s">
        <v>306</v>
      </c>
      <c r="C1285" s="6" t="s">
        <v>3340</v>
      </c>
      <c r="D1285" s="6" t="s">
        <v>3341</v>
      </c>
      <c r="E1285" s="5"/>
    </row>
    <row r="1286" spans="2:5" x14ac:dyDescent="0.15">
      <c r="B1286" s="6" t="s">
        <v>3342</v>
      </c>
      <c r="C1286" s="6" t="s">
        <v>3343</v>
      </c>
      <c r="D1286" s="6" t="s">
        <v>3344</v>
      </c>
      <c r="E1286" s="5"/>
    </row>
    <row r="1287" spans="2:5" x14ac:dyDescent="0.15">
      <c r="B1287" s="6" t="s">
        <v>3345</v>
      </c>
      <c r="C1287" s="6" t="s">
        <v>3346</v>
      </c>
      <c r="D1287" s="6" t="s">
        <v>3347</v>
      </c>
      <c r="E1287" s="5" t="str">
        <f>HYPERLINK("https://www.esco-net.com/wcs/escort/ec/detail?hHinCd=EA928AB-312","EA928AB-312")</f>
        <v>EA928AB-312</v>
      </c>
    </row>
    <row r="1288" spans="2:5" x14ac:dyDescent="0.15">
      <c r="B1288" s="6" t="s">
        <v>3348</v>
      </c>
      <c r="C1288" s="6" t="s">
        <v>3349</v>
      </c>
      <c r="D1288" s="6" t="s">
        <v>3350</v>
      </c>
      <c r="E1288" s="5"/>
    </row>
    <row r="1289" spans="2:5" x14ac:dyDescent="0.15">
      <c r="B1289" s="6" t="s">
        <v>307</v>
      </c>
      <c r="C1289" s="6" t="s">
        <v>3351</v>
      </c>
      <c r="D1289" s="6" t="s">
        <v>3352</v>
      </c>
      <c r="E1289" s="5" t="str">
        <f>HYPERLINK("https://www.esco-net.com/wcs/escort/ec/detail?hHinCd=EA928CC-38","EA928CC-38")</f>
        <v>EA928CC-38</v>
      </c>
    </row>
    <row r="1290" spans="2:5" x14ac:dyDescent="0.15">
      <c r="B1290" s="6" t="s">
        <v>3353</v>
      </c>
      <c r="C1290" s="6" t="s">
        <v>3354</v>
      </c>
      <c r="D1290" s="6" t="s">
        <v>3355</v>
      </c>
      <c r="E1290" s="5" t="str">
        <f>HYPERLINK("https://www.esco-net.com/wcs/escort/ec/detail?hHinCd=EA928BM-2","EA928BM-2")</f>
        <v>EA928BM-2</v>
      </c>
    </row>
    <row r="1291" spans="2:5" x14ac:dyDescent="0.15">
      <c r="B1291" s="6" t="s">
        <v>3356</v>
      </c>
      <c r="C1291" s="6" t="s">
        <v>3357</v>
      </c>
      <c r="D1291" s="6" t="s">
        <v>3358</v>
      </c>
      <c r="E1291" s="5" t="str">
        <f>HYPERLINK("https://www.esco-net.com/wcs/escort/ec/detail?hHinCd=EA928BG-23","EA928BG-23")</f>
        <v>EA928BG-23</v>
      </c>
    </row>
    <row r="1292" spans="2:5" x14ac:dyDescent="0.15">
      <c r="B1292" s="6" t="s">
        <v>3359</v>
      </c>
      <c r="C1292" s="6" t="s">
        <v>3360</v>
      </c>
      <c r="D1292" s="6" t="s">
        <v>3361</v>
      </c>
      <c r="E1292" s="5" t="str">
        <f>HYPERLINK("https://www.esco-net.com/wcs/escort/ec/detail?hHinCd=EA928CA-6","EA928CA-6")</f>
        <v>EA928CA-6</v>
      </c>
    </row>
    <row r="1293" spans="2:5" x14ac:dyDescent="0.15">
      <c r="B1293" s="6" t="s">
        <v>122</v>
      </c>
      <c r="C1293" s="6" t="s">
        <v>3362</v>
      </c>
      <c r="D1293" s="6" t="s">
        <v>3363</v>
      </c>
      <c r="E1293" s="5" t="str">
        <f>HYPERLINK("https://www.esco-net.com/wcs/escort/ec/detail?hHinCd=EA929DY-31","EA929DY-31")</f>
        <v>EA929DY-31</v>
      </c>
    </row>
    <row r="1294" spans="2:5" x14ac:dyDescent="0.15">
      <c r="B1294" s="6" t="s">
        <v>3364</v>
      </c>
      <c r="C1294" s="6" t="s">
        <v>3365</v>
      </c>
      <c r="D1294" s="6" t="s">
        <v>3366</v>
      </c>
      <c r="E1294" s="5" t="str">
        <f>HYPERLINK("https://www.esco-net.com/wcs/escort/ec/detail?hHinCd=EA995A-157A","EA995A-157A")</f>
        <v>EA995A-157A</v>
      </c>
    </row>
    <row r="1295" spans="2:5" x14ac:dyDescent="0.15">
      <c r="B1295" s="6" t="s">
        <v>308</v>
      </c>
      <c r="C1295" s="6" t="s">
        <v>3367</v>
      </c>
      <c r="D1295" s="6" t="s">
        <v>3368</v>
      </c>
      <c r="E1295" s="5" t="str">
        <f>HYPERLINK("https://www.esco-net.com/wcs/escort/ec/detail?hHinCd=EA995CA-41A","EA995CA-41A")</f>
        <v>EA995CA-41A</v>
      </c>
    </row>
    <row r="1296" spans="2:5" x14ac:dyDescent="0.15">
      <c r="B1296" s="6" t="s">
        <v>308</v>
      </c>
      <c r="C1296" s="6" t="s">
        <v>3369</v>
      </c>
      <c r="D1296" s="6" t="s">
        <v>3370</v>
      </c>
      <c r="E1296" s="5" t="str">
        <f>HYPERLINK("https://www.esco-net.com/wcs/escort/ec/detail?hHinCd=EA995CC-21","EA995CC-21")</f>
        <v>EA995CC-21</v>
      </c>
    </row>
    <row r="1297" spans="2:5" x14ac:dyDescent="0.15">
      <c r="B1297" s="6" t="s">
        <v>3371</v>
      </c>
      <c r="C1297" s="6" t="s">
        <v>3372</v>
      </c>
      <c r="D1297" s="6" t="s">
        <v>3373</v>
      </c>
      <c r="E1297" s="5" t="str">
        <f>HYPERLINK("https://www.esco-net.com/wcs/escort/ec/detail?hHinCd=EA954LB-41A","EA954LB-41A")</f>
        <v>EA954LB-41A</v>
      </c>
    </row>
    <row r="1298" spans="2:5" x14ac:dyDescent="0.15">
      <c r="B1298" s="6" t="s">
        <v>3374</v>
      </c>
      <c r="C1298" s="6" t="s">
        <v>3375</v>
      </c>
      <c r="D1298" s="6" t="s">
        <v>3376</v>
      </c>
      <c r="E1298" s="5"/>
    </row>
    <row r="1299" spans="2:5" x14ac:dyDescent="0.15">
      <c r="B1299" s="6" t="s">
        <v>309</v>
      </c>
      <c r="C1299" s="6" t="s">
        <v>3377</v>
      </c>
      <c r="D1299" s="6" t="s">
        <v>3378</v>
      </c>
      <c r="E1299" s="5" t="str">
        <f>HYPERLINK("https://www.esco-net.com/wcs/escort/ec/detail?hHinCd=EA899AJ-60D","EA899AJ-60D")</f>
        <v>EA899AJ-60D</v>
      </c>
    </row>
    <row r="1300" spans="2:5" x14ac:dyDescent="0.15">
      <c r="B1300" s="6" t="s">
        <v>309</v>
      </c>
      <c r="C1300" s="6" t="s">
        <v>3379</v>
      </c>
      <c r="D1300" s="6" t="s">
        <v>3380</v>
      </c>
      <c r="E1300" s="5" t="str">
        <f>HYPERLINK("https://www.esco-net.com/wcs/escort/ec/detail?hHinCd=EA899AW-19A","EA899AW-19A")</f>
        <v>EA899AW-19A</v>
      </c>
    </row>
    <row r="1301" spans="2:5" x14ac:dyDescent="0.15">
      <c r="B1301" s="6" t="s">
        <v>310</v>
      </c>
      <c r="C1301" s="6" t="s">
        <v>3381</v>
      </c>
      <c r="D1301" s="6" t="s">
        <v>311</v>
      </c>
      <c r="E1301" s="5" t="str">
        <f>HYPERLINK("https://www.esco-net.com/wcs/escort/ec/detail?hHinCd=EA899AH-36H","EA899AH-36H")</f>
        <v>EA899AH-36H</v>
      </c>
    </row>
    <row r="1302" spans="2:5" x14ac:dyDescent="0.15">
      <c r="B1302" s="6" t="s">
        <v>3382</v>
      </c>
      <c r="C1302" s="6" t="s">
        <v>3383</v>
      </c>
      <c r="D1302" s="6" t="s">
        <v>3384</v>
      </c>
      <c r="E1302" s="5"/>
    </row>
    <row r="1303" spans="2:5" x14ac:dyDescent="0.15">
      <c r="B1303" s="6" t="s">
        <v>3382</v>
      </c>
      <c r="C1303" s="6" t="s">
        <v>3385</v>
      </c>
      <c r="D1303" s="6" t="s">
        <v>3386</v>
      </c>
      <c r="E1303" s="5" t="str">
        <f>HYPERLINK("https://www.esco-net.com/wcs/escort/ec/detail?hHinCd=EA115KZ-31","EA115KZ-31")</f>
        <v>EA115KZ-31</v>
      </c>
    </row>
    <row r="1304" spans="2:5" x14ac:dyDescent="0.15">
      <c r="B1304" s="6" t="s">
        <v>3387</v>
      </c>
      <c r="C1304" s="6" t="s">
        <v>3388</v>
      </c>
      <c r="D1304" s="6" t="s">
        <v>3389</v>
      </c>
      <c r="E1304" s="5" t="str">
        <f>HYPERLINK("https://www.esco-net.com/wcs/escort/ec/detail?hHinCd=EA899HS-4B","EA899HS-4B")</f>
        <v>EA899HS-4B</v>
      </c>
    </row>
    <row r="1305" spans="2:5" x14ac:dyDescent="0.15">
      <c r="B1305" s="6" t="s">
        <v>3390</v>
      </c>
      <c r="C1305" s="6" t="s">
        <v>3391</v>
      </c>
      <c r="D1305" s="6" t="s">
        <v>3392</v>
      </c>
      <c r="E1305" s="5" t="str">
        <f>HYPERLINK("https://www.esco-net.com/wcs/escort/ec/detail?hHinCd=EA897BK-6","EA897BK-6")</f>
        <v>EA897BK-6</v>
      </c>
    </row>
    <row r="1306" spans="2:5" x14ac:dyDescent="0.15">
      <c r="B1306" s="6" t="s">
        <v>3393</v>
      </c>
      <c r="C1306" s="6" t="s">
        <v>3394</v>
      </c>
      <c r="D1306" s="6" t="s">
        <v>3395</v>
      </c>
      <c r="E1306" s="5"/>
    </row>
    <row r="1307" spans="2:5" x14ac:dyDescent="0.15">
      <c r="B1307" s="6" t="s">
        <v>3396</v>
      </c>
      <c r="C1307" s="6" t="s">
        <v>3397</v>
      </c>
      <c r="D1307" s="6" t="s">
        <v>3398</v>
      </c>
      <c r="E1307" s="5"/>
    </row>
    <row r="1308" spans="2:5" x14ac:dyDescent="0.15">
      <c r="B1308" s="6" t="s">
        <v>3399</v>
      </c>
      <c r="C1308" s="6" t="s">
        <v>3400</v>
      </c>
      <c r="D1308" s="6" t="s">
        <v>3401</v>
      </c>
      <c r="E1308" s="5" t="str">
        <f>HYPERLINK("https://www.esco-net.com/wcs/escort/ec/detail?hHinCd=EA913VL-133A","EA913VL-133A")</f>
        <v>EA913VL-133A</v>
      </c>
    </row>
    <row r="1309" spans="2:5" x14ac:dyDescent="0.15">
      <c r="B1309" s="6" t="s">
        <v>312</v>
      </c>
      <c r="C1309" s="6" t="s">
        <v>3402</v>
      </c>
      <c r="D1309" s="6" t="s">
        <v>3403</v>
      </c>
      <c r="E1309" s="5" t="str">
        <f>HYPERLINK("https://www.esco-net.com/wcs/escort/ec/detail?hHinCd=EA917AL-57","EA917AL-57")</f>
        <v>EA917AL-57</v>
      </c>
    </row>
    <row r="1310" spans="2:5" x14ac:dyDescent="0.15">
      <c r="B1310" s="6" t="s">
        <v>312</v>
      </c>
      <c r="C1310" s="6" t="s">
        <v>3404</v>
      </c>
      <c r="D1310" s="6" t="s">
        <v>3405</v>
      </c>
      <c r="E1310" s="5" t="str">
        <f>HYPERLINK("https://www.esco-net.com/wcs/escort/ec/detail?hHinCd=EA917AL-57","EA917AL-57")</f>
        <v>EA917AL-57</v>
      </c>
    </row>
    <row r="1311" spans="2:5" x14ac:dyDescent="0.15">
      <c r="B1311" s="6" t="s">
        <v>312</v>
      </c>
      <c r="C1311" s="6" t="s">
        <v>3406</v>
      </c>
      <c r="D1311" s="6" t="s">
        <v>3407</v>
      </c>
      <c r="E1311" s="5" t="str">
        <f>HYPERLINK("https://www.esco-net.com/wcs/escort/ec/detail?hHinCd=EA917AK-45C","EA917AK-45C")</f>
        <v>EA917AK-45C</v>
      </c>
    </row>
    <row r="1312" spans="2:5" x14ac:dyDescent="0.15">
      <c r="B1312" s="6" t="s">
        <v>3408</v>
      </c>
      <c r="C1312" s="6" t="s">
        <v>3409</v>
      </c>
      <c r="D1312" s="6" t="s">
        <v>3410</v>
      </c>
      <c r="E1312" s="5"/>
    </row>
    <row r="1313" spans="2:5" x14ac:dyDescent="0.15">
      <c r="B1313" s="6" t="s">
        <v>3411</v>
      </c>
      <c r="C1313" s="6" t="s">
        <v>3412</v>
      </c>
      <c r="D1313" s="6" t="s">
        <v>3413</v>
      </c>
      <c r="E1313" s="5" t="str">
        <f>HYPERLINK("https://www.esco-net.com/wcs/escort/ec/detail?hHinCd=EA916-12","EA916-12")</f>
        <v>EA916-12</v>
      </c>
    </row>
    <row r="1314" spans="2:5" x14ac:dyDescent="0.15">
      <c r="B1314" s="6" t="s">
        <v>3411</v>
      </c>
      <c r="C1314" s="6" t="s">
        <v>3414</v>
      </c>
      <c r="D1314" s="6" t="s">
        <v>3415</v>
      </c>
      <c r="E1314" s="5" t="str">
        <f>HYPERLINK("https://www.esco-net.com/wcs/escort/ec/detail?hHinCd=EA916-12","EA916-12")</f>
        <v>EA916-12</v>
      </c>
    </row>
    <row r="1315" spans="2:5" x14ac:dyDescent="0.15">
      <c r="B1315" s="6" t="s">
        <v>313</v>
      </c>
      <c r="C1315" s="6" t="s">
        <v>3416</v>
      </c>
      <c r="D1315" s="6" t="s">
        <v>3417</v>
      </c>
      <c r="E1315" s="5"/>
    </row>
    <row r="1316" spans="2:5" x14ac:dyDescent="0.15">
      <c r="B1316" s="6" t="s">
        <v>3418</v>
      </c>
      <c r="C1316" s="6" t="s">
        <v>3419</v>
      </c>
      <c r="D1316" s="6" t="s">
        <v>3420</v>
      </c>
      <c r="E1316" s="5"/>
    </row>
    <row r="1317" spans="2:5" x14ac:dyDescent="0.15">
      <c r="B1317" s="6" t="s">
        <v>3421</v>
      </c>
      <c r="C1317" s="6" t="s">
        <v>3422</v>
      </c>
      <c r="D1317" s="6" t="s">
        <v>3423</v>
      </c>
      <c r="E1317" s="5"/>
    </row>
    <row r="1318" spans="2:5" x14ac:dyDescent="0.15">
      <c r="B1318" s="6" t="s">
        <v>3424</v>
      </c>
      <c r="C1318" s="6" t="s">
        <v>3425</v>
      </c>
      <c r="D1318" s="6" t="s">
        <v>3426</v>
      </c>
      <c r="E1318" s="5" t="str">
        <f>HYPERLINK("https://www.esco-net.com/wcs/escort/ec/detail?hHinCd=EA997Z-7A","EA997Z-7A")</f>
        <v>EA997Z-7A</v>
      </c>
    </row>
    <row r="1319" spans="2:5" x14ac:dyDescent="0.15">
      <c r="B1319" s="6" t="s">
        <v>74</v>
      </c>
      <c r="C1319" s="6" t="s">
        <v>3427</v>
      </c>
      <c r="D1319" s="6" t="s">
        <v>3428</v>
      </c>
      <c r="E1319" s="5" t="str">
        <f>HYPERLINK("https://www.esco-net.com/wcs/escort/ec/detail?hHinCd=EA650BG-73B","EA650BG-73B")</f>
        <v>EA650BG-73B</v>
      </c>
    </row>
    <row r="1320" spans="2:5" x14ac:dyDescent="0.15">
      <c r="B1320" s="6" t="s">
        <v>74</v>
      </c>
      <c r="C1320" s="6" t="s">
        <v>3429</v>
      </c>
      <c r="D1320" s="6" t="s">
        <v>3430</v>
      </c>
      <c r="E1320" s="5"/>
    </row>
    <row r="1321" spans="2:5" x14ac:dyDescent="0.15">
      <c r="B1321" s="6" t="s">
        <v>3431</v>
      </c>
      <c r="C1321" s="6" t="s">
        <v>3432</v>
      </c>
      <c r="D1321" s="6" t="s">
        <v>3433</v>
      </c>
      <c r="E1321" s="5" t="str">
        <f>HYPERLINK("https://www.esco-net.com/wcs/escort/ec/detail?hHinCd=EA650BG-68","EA650BG-68")</f>
        <v>EA650BG-68</v>
      </c>
    </row>
    <row r="1322" spans="2:5" x14ac:dyDescent="0.15">
      <c r="B1322" s="6" t="s">
        <v>3431</v>
      </c>
      <c r="C1322" s="6" t="s">
        <v>3434</v>
      </c>
      <c r="D1322" s="6" t="s">
        <v>3435</v>
      </c>
      <c r="E1322" s="5" t="str">
        <f>HYPERLINK("https://www.esco-net.com/wcs/escort/ec/detail?hHinCd=EA650BG-68","EA650BG-68")</f>
        <v>EA650BG-68</v>
      </c>
    </row>
    <row r="1323" spans="2:5" x14ac:dyDescent="0.15">
      <c r="B1323" s="6" t="s">
        <v>3436</v>
      </c>
      <c r="C1323" s="6" t="s">
        <v>3437</v>
      </c>
      <c r="D1323" s="6" t="s">
        <v>3438</v>
      </c>
      <c r="E1323" s="5"/>
    </row>
    <row r="1324" spans="2:5" x14ac:dyDescent="0.15">
      <c r="B1324" s="6" t="s">
        <v>314</v>
      </c>
      <c r="C1324" s="6" t="s">
        <v>3439</v>
      </c>
      <c r="D1324" s="6" t="s">
        <v>3440</v>
      </c>
      <c r="E1324" s="5" t="str">
        <f>HYPERLINK("https://www.esco-net.com/wcs/escort/ec/detail?hHinCd=EA650CB-21","EA650CB-21")</f>
        <v>EA650CB-21</v>
      </c>
    </row>
    <row r="1325" spans="2:5" x14ac:dyDescent="0.15">
      <c r="B1325" s="6" t="s">
        <v>3441</v>
      </c>
      <c r="C1325" s="6" t="s">
        <v>3442</v>
      </c>
      <c r="D1325" s="6" t="s">
        <v>3443</v>
      </c>
      <c r="E1325" s="5" t="str">
        <f>HYPERLINK("https://www.esco-net.com/wcs/escort/ec/detail?hHinCd=EA650BJ-31","EA650BJ-31")</f>
        <v>EA650BJ-31</v>
      </c>
    </row>
    <row r="1326" spans="2:5" x14ac:dyDescent="0.15">
      <c r="B1326" s="6" t="s">
        <v>3444</v>
      </c>
      <c r="C1326" s="6" t="s">
        <v>3445</v>
      </c>
      <c r="D1326" s="6" t="s">
        <v>3446</v>
      </c>
      <c r="E1326" s="5"/>
    </row>
    <row r="1327" spans="2:5" x14ac:dyDescent="0.15">
      <c r="B1327" s="6" t="s">
        <v>3447</v>
      </c>
      <c r="C1327" s="6" t="s">
        <v>3448</v>
      </c>
      <c r="D1327" s="6" t="s">
        <v>3449</v>
      </c>
      <c r="E1327" s="5"/>
    </row>
    <row r="1328" spans="2:5" x14ac:dyDescent="0.15">
      <c r="B1328" s="6" t="s">
        <v>3447</v>
      </c>
      <c r="C1328" s="6" t="s">
        <v>3450</v>
      </c>
      <c r="D1328" s="6" t="s">
        <v>3451</v>
      </c>
      <c r="E1328" s="5" t="str">
        <f>HYPERLINK("https://www.esco-net.com/wcs/escort/ec/detail?hHinCd=EA898CA-22A","EA898CA-22A")</f>
        <v>EA898CA-22A</v>
      </c>
    </row>
    <row r="1329" spans="2:5" x14ac:dyDescent="0.15">
      <c r="B1329" s="6" t="s">
        <v>3447</v>
      </c>
      <c r="C1329" s="6" t="s">
        <v>3452</v>
      </c>
      <c r="D1329" s="6" t="s">
        <v>3453</v>
      </c>
      <c r="E1329" s="5"/>
    </row>
    <row r="1330" spans="2:5" x14ac:dyDescent="0.15">
      <c r="B1330" s="6" t="s">
        <v>3447</v>
      </c>
      <c r="C1330" s="6" t="s">
        <v>3454</v>
      </c>
      <c r="D1330" s="6" t="s">
        <v>3455</v>
      </c>
      <c r="E1330" s="5"/>
    </row>
    <row r="1331" spans="2:5" x14ac:dyDescent="0.15">
      <c r="B1331" s="6" t="s">
        <v>3456</v>
      </c>
      <c r="C1331" s="6" t="s">
        <v>3457</v>
      </c>
      <c r="D1331" s="6" t="s">
        <v>3458</v>
      </c>
      <c r="E1331" s="5" t="str">
        <f>HYPERLINK("https://www.esco-net.com/wcs/escort/ec/detail?hHinCd=EA650AX-37","EA650AX-37")</f>
        <v>EA650AX-37</v>
      </c>
    </row>
    <row r="1332" spans="2:5" x14ac:dyDescent="0.15">
      <c r="B1332" s="6" t="s">
        <v>3459</v>
      </c>
      <c r="C1332" s="6" t="s">
        <v>3460</v>
      </c>
      <c r="D1332" s="6" t="s">
        <v>3461</v>
      </c>
      <c r="E1332" s="5" t="str">
        <f>HYPERLINK("https://www.esco-net.com/wcs/escort/ec/detail?hHinCd=EA650BA-2","EA650BA-2")</f>
        <v>EA650BA-2</v>
      </c>
    </row>
    <row r="1333" spans="2:5" x14ac:dyDescent="0.15">
      <c r="B1333" s="6" t="s">
        <v>3462</v>
      </c>
      <c r="C1333" s="6" t="s">
        <v>3463</v>
      </c>
      <c r="D1333" s="6" t="s">
        <v>3464</v>
      </c>
      <c r="E1333" s="5" t="str">
        <f>HYPERLINK("https://www.esco-net.com/wcs/escort/ec/detail?hHinCd=EA650BA-15","EA650BA-15")</f>
        <v>EA650BA-15</v>
      </c>
    </row>
    <row r="1334" spans="2:5" x14ac:dyDescent="0.15">
      <c r="B1334" s="6" t="s">
        <v>3465</v>
      </c>
      <c r="C1334" s="6" t="s">
        <v>3466</v>
      </c>
      <c r="D1334" s="6" t="s">
        <v>3467</v>
      </c>
      <c r="E1334" s="5" t="str">
        <f>HYPERLINK("https://www.esco-net.com/wcs/escort/ec/detail?hHinCd=EA650BB-41","EA650BB-41")</f>
        <v>EA650BB-41</v>
      </c>
    </row>
    <row r="1335" spans="2:5" x14ac:dyDescent="0.15">
      <c r="B1335" s="6" t="s">
        <v>3468</v>
      </c>
      <c r="C1335" s="6" t="s">
        <v>3469</v>
      </c>
      <c r="D1335" s="6" t="s">
        <v>3470</v>
      </c>
      <c r="E1335" s="5" t="str">
        <f>HYPERLINK("https://www.esco-net.com/wcs/escort/ec/detail?hHinCd=EA898B-42","EA898B-42")</f>
        <v>EA898B-42</v>
      </c>
    </row>
    <row r="1336" spans="2:5" x14ac:dyDescent="0.15">
      <c r="B1336" s="6" t="s">
        <v>3468</v>
      </c>
      <c r="C1336" s="6" t="s">
        <v>3471</v>
      </c>
      <c r="D1336" s="6" t="s">
        <v>3472</v>
      </c>
      <c r="E1336" s="5" t="str">
        <f>HYPERLINK("https://www.esco-net.com/wcs/escort/ec/detail?hHinCd=EA898RC-200","EA898RC-200")</f>
        <v>EA898RC-200</v>
      </c>
    </row>
    <row r="1337" spans="2:5" x14ac:dyDescent="0.15">
      <c r="B1337" s="6" t="s">
        <v>3473</v>
      </c>
      <c r="C1337" s="6" t="s">
        <v>3474</v>
      </c>
      <c r="D1337" s="6" t="s">
        <v>3475</v>
      </c>
      <c r="E1337" s="5" t="str">
        <f>HYPERLINK("https://www.esco-net.com/wcs/escort/ec/detail?hHinCd=EA898BE-4B","EA898BE-4B")</f>
        <v>EA898BE-4B</v>
      </c>
    </row>
    <row r="1338" spans="2:5" x14ac:dyDescent="0.15">
      <c r="B1338" s="6" t="s">
        <v>3476</v>
      </c>
      <c r="C1338" s="6" t="s">
        <v>3477</v>
      </c>
      <c r="D1338" s="6" t="s">
        <v>3478</v>
      </c>
      <c r="E1338" s="5"/>
    </row>
    <row r="1339" spans="2:5" x14ac:dyDescent="0.15">
      <c r="B1339" s="6" t="s">
        <v>3479</v>
      </c>
      <c r="C1339" s="6" t="s">
        <v>3480</v>
      </c>
      <c r="D1339" s="6" t="s">
        <v>3481</v>
      </c>
      <c r="E1339" s="5"/>
    </row>
    <row r="1340" spans="2:5" x14ac:dyDescent="0.15">
      <c r="B1340" s="6" t="s">
        <v>3482</v>
      </c>
      <c r="C1340" s="6" t="s">
        <v>3483</v>
      </c>
      <c r="D1340" s="6" t="s">
        <v>3484</v>
      </c>
      <c r="E1340" s="5"/>
    </row>
    <row r="1341" spans="2:5" x14ac:dyDescent="0.15">
      <c r="B1341" s="6" t="s">
        <v>315</v>
      </c>
      <c r="C1341" s="6" t="s">
        <v>3485</v>
      </c>
      <c r="D1341" s="6" t="s">
        <v>3486</v>
      </c>
      <c r="E1341" s="5" t="str">
        <f>HYPERLINK("https://www.esco-net.com/wcs/escort/ec/detail?hHinCd=EA628ZZ-33","EA628ZZ-33")</f>
        <v>EA628ZZ-33</v>
      </c>
    </row>
    <row r="1342" spans="2:5" x14ac:dyDescent="0.15">
      <c r="B1342" s="6" t="s">
        <v>315</v>
      </c>
      <c r="C1342" s="6" t="s">
        <v>3487</v>
      </c>
      <c r="D1342" s="6" t="s">
        <v>3488</v>
      </c>
      <c r="E1342" s="5" t="str">
        <f>HYPERLINK("https://www.esco-net.com/wcs/escort/ec/detail?hHinCd=EA628ZZ-35","EA628ZZ-35")</f>
        <v>EA628ZZ-35</v>
      </c>
    </row>
    <row r="1343" spans="2:5" x14ac:dyDescent="0.15">
      <c r="B1343" s="6" t="s">
        <v>315</v>
      </c>
      <c r="C1343" s="6" t="s">
        <v>3489</v>
      </c>
      <c r="D1343" s="6" t="s">
        <v>3490</v>
      </c>
      <c r="E1343" s="5" t="str">
        <f>HYPERLINK("https://www.esco-net.com/wcs/escort/ec/detail?hHinCd=EA628ZZ-42","EA628ZZ-42")</f>
        <v>EA628ZZ-42</v>
      </c>
    </row>
    <row r="1344" spans="2:5" x14ac:dyDescent="0.15">
      <c r="B1344" s="6" t="s">
        <v>315</v>
      </c>
      <c r="C1344" s="6" t="s">
        <v>3491</v>
      </c>
      <c r="D1344" s="6" t="s">
        <v>3492</v>
      </c>
      <c r="E1344" s="5" t="str">
        <f>HYPERLINK("https://www.esco-net.com/wcs/escort/ec/detail?hHinCd=EA628ZZ-63B","EA628ZZ-63B")</f>
        <v>EA628ZZ-63B</v>
      </c>
    </row>
    <row r="1345" spans="2:5" x14ac:dyDescent="0.15">
      <c r="B1345" s="6" t="s">
        <v>3493</v>
      </c>
      <c r="C1345" s="6" t="s">
        <v>3494</v>
      </c>
      <c r="D1345" s="6" t="s">
        <v>3495</v>
      </c>
      <c r="E1345" s="5"/>
    </row>
    <row r="1346" spans="2:5" x14ac:dyDescent="0.15">
      <c r="B1346" s="6"/>
      <c r="C1346" s="6"/>
      <c r="D1346" s="6"/>
      <c r="E1346" s="5"/>
    </row>
    <row r="1347" spans="2:5" x14ac:dyDescent="0.15">
      <c r="B1347" s="6"/>
      <c r="C1347" s="6"/>
      <c r="D1347" s="6"/>
      <c r="E1347" s="5"/>
    </row>
    <row r="1348" spans="2:5" x14ac:dyDescent="0.15">
      <c r="B1348" s="6"/>
      <c r="C1348" s="6"/>
      <c r="D1348" s="6"/>
      <c r="E1348" s="5"/>
    </row>
    <row r="1349" spans="2:5" x14ac:dyDescent="0.15">
      <c r="B1349" s="6"/>
      <c r="C1349" s="6"/>
      <c r="D1349" s="6"/>
      <c r="E1349" s="5"/>
    </row>
    <row r="1350" spans="2:5" x14ac:dyDescent="0.15">
      <c r="B1350" s="6"/>
      <c r="C1350" s="6"/>
      <c r="D1350" s="6"/>
      <c r="E1350" s="5"/>
    </row>
    <row r="1351" spans="2:5" x14ac:dyDescent="0.15">
      <c r="B1351" s="6"/>
      <c r="C1351" s="6"/>
      <c r="D1351" s="6"/>
      <c r="E1351" s="5"/>
    </row>
    <row r="1352" spans="2:5" x14ac:dyDescent="0.15">
      <c r="B1352" s="6"/>
      <c r="C1352" s="6"/>
      <c r="D1352" s="6"/>
      <c r="E1352" s="5"/>
    </row>
    <row r="1353" spans="2:5" x14ac:dyDescent="0.15">
      <c r="B1353" s="6"/>
      <c r="C1353" s="6"/>
      <c r="D1353" s="6"/>
      <c r="E1353" s="5"/>
    </row>
    <row r="1354" spans="2:5" x14ac:dyDescent="0.15">
      <c r="B1354" s="6"/>
      <c r="C1354" s="6"/>
      <c r="D1354" s="6"/>
      <c r="E1354" s="5"/>
    </row>
    <row r="1355" spans="2:5" x14ac:dyDescent="0.15">
      <c r="B1355" s="6"/>
      <c r="C1355" s="6"/>
      <c r="D1355" s="6"/>
      <c r="E1355" s="5"/>
    </row>
    <row r="1356" spans="2:5" x14ac:dyDescent="0.15">
      <c r="B1356" s="6"/>
      <c r="C1356" s="6"/>
      <c r="D1356" s="6"/>
      <c r="E1356" s="5"/>
    </row>
    <row r="1357" spans="2:5" x14ac:dyDescent="0.15">
      <c r="B1357" s="6"/>
      <c r="C1357" s="6"/>
      <c r="D1357" s="6"/>
      <c r="E1357" s="5"/>
    </row>
    <row r="1358" spans="2:5" x14ac:dyDescent="0.15">
      <c r="B1358" s="6"/>
      <c r="C1358" s="6"/>
      <c r="D1358" s="6"/>
      <c r="E1358" s="5"/>
    </row>
    <row r="1359" spans="2:5" x14ac:dyDescent="0.15">
      <c r="B1359" s="6"/>
      <c r="C1359" s="6"/>
      <c r="D1359" s="6"/>
      <c r="E1359" s="5"/>
    </row>
    <row r="1360" spans="2:5" x14ac:dyDescent="0.15">
      <c r="B1360" s="6"/>
      <c r="C1360" s="6"/>
      <c r="D1360" s="6"/>
      <c r="E1360" s="5"/>
    </row>
    <row r="1361" spans="2:5" x14ac:dyDescent="0.15">
      <c r="B1361" s="6"/>
      <c r="C1361" s="6"/>
      <c r="D1361" s="6"/>
      <c r="E1361" s="5"/>
    </row>
    <row r="1362" spans="2:5" x14ac:dyDescent="0.15">
      <c r="B1362" s="6"/>
      <c r="C1362" s="6"/>
      <c r="D1362" s="6"/>
      <c r="E1362" s="5"/>
    </row>
    <row r="1363" spans="2:5" x14ac:dyDescent="0.15">
      <c r="B1363" s="6"/>
      <c r="C1363" s="6"/>
      <c r="D1363" s="6"/>
      <c r="E1363" s="5"/>
    </row>
    <row r="1364" spans="2:5" x14ac:dyDescent="0.15">
      <c r="B1364" s="6"/>
      <c r="C1364" s="6"/>
      <c r="D1364" s="6"/>
      <c r="E1364" s="5"/>
    </row>
    <row r="1365" spans="2:5" x14ac:dyDescent="0.15">
      <c r="B1365" s="6"/>
      <c r="C1365" s="6"/>
      <c r="D1365" s="6"/>
      <c r="E1365" s="5"/>
    </row>
    <row r="1366" spans="2:5" x14ac:dyDescent="0.15">
      <c r="B1366" s="6"/>
      <c r="C1366" s="6"/>
      <c r="D1366" s="6"/>
      <c r="E1366" s="5"/>
    </row>
    <row r="1367" spans="2:5" x14ac:dyDescent="0.15">
      <c r="B1367" s="6"/>
      <c r="C1367" s="6"/>
      <c r="D1367" s="6"/>
      <c r="E1367" s="5"/>
    </row>
    <row r="1368" spans="2:5" x14ac:dyDescent="0.15">
      <c r="B1368" s="6"/>
      <c r="C1368" s="6"/>
      <c r="D1368" s="6"/>
      <c r="E1368" s="5"/>
    </row>
    <row r="1369" spans="2:5" x14ac:dyDescent="0.15">
      <c r="B1369" s="6"/>
      <c r="C1369" s="6"/>
      <c r="D1369" s="6"/>
      <c r="E1369" s="5"/>
    </row>
    <row r="1370" spans="2:5" x14ac:dyDescent="0.15">
      <c r="B1370" s="6"/>
      <c r="C1370" s="6"/>
      <c r="D1370" s="6"/>
      <c r="E1370" s="5"/>
    </row>
    <row r="1371" spans="2:5" x14ac:dyDescent="0.15">
      <c r="B1371" s="6"/>
      <c r="C1371" s="6"/>
      <c r="D1371" s="6"/>
      <c r="E1371" s="5"/>
    </row>
    <row r="1372" spans="2:5" x14ac:dyDescent="0.15">
      <c r="B1372" s="6"/>
      <c r="C1372" s="6"/>
      <c r="D1372" s="6"/>
      <c r="E1372" s="5"/>
    </row>
    <row r="1373" spans="2:5" x14ac:dyDescent="0.15">
      <c r="B1373" s="6"/>
      <c r="C1373" s="6"/>
      <c r="D1373" s="6"/>
      <c r="E1373" s="5"/>
    </row>
    <row r="1374" spans="2:5" x14ac:dyDescent="0.15">
      <c r="B1374" s="6"/>
      <c r="C1374" s="6"/>
      <c r="D1374" s="6"/>
      <c r="E1374" s="5"/>
    </row>
    <row r="1375" spans="2:5" x14ac:dyDescent="0.15">
      <c r="B1375" s="6"/>
      <c r="C1375" s="6"/>
      <c r="D1375" s="6"/>
      <c r="E1375" s="5"/>
    </row>
    <row r="1376" spans="2:5" x14ac:dyDescent="0.15">
      <c r="B1376" s="6"/>
      <c r="C1376" s="6"/>
      <c r="D1376" s="6"/>
      <c r="E1376" s="5"/>
    </row>
    <row r="1377" spans="2:5" x14ac:dyDescent="0.15">
      <c r="B1377" s="6"/>
      <c r="C1377" s="6"/>
      <c r="D1377" s="6"/>
      <c r="E1377" s="5"/>
    </row>
    <row r="1378" spans="2:5" x14ac:dyDescent="0.15">
      <c r="B1378" s="6"/>
      <c r="C1378" s="6"/>
      <c r="D1378" s="6"/>
      <c r="E1378" s="5"/>
    </row>
    <row r="1379" spans="2:5" x14ac:dyDescent="0.15">
      <c r="B1379" s="6"/>
      <c r="C1379" s="6"/>
      <c r="D1379" s="6"/>
      <c r="E1379" s="5"/>
    </row>
    <row r="1380" spans="2:5" x14ac:dyDescent="0.15">
      <c r="B1380" s="6"/>
      <c r="C1380" s="6"/>
      <c r="D1380" s="6"/>
      <c r="E1380" s="5"/>
    </row>
    <row r="1381" spans="2:5" x14ac:dyDescent="0.15">
      <c r="B1381" s="6"/>
      <c r="C1381" s="6"/>
      <c r="D1381" s="6"/>
      <c r="E1381" s="5"/>
    </row>
    <row r="1382" spans="2:5" x14ac:dyDescent="0.15">
      <c r="B1382" s="6"/>
      <c r="C1382" s="6"/>
      <c r="D1382" s="6"/>
      <c r="E1382" s="5"/>
    </row>
    <row r="1383" spans="2:5" x14ac:dyDescent="0.15">
      <c r="B1383" s="6"/>
      <c r="C1383" s="6"/>
      <c r="D1383" s="6"/>
      <c r="E1383" s="5"/>
    </row>
    <row r="1384" spans="2:5" x14ac:dyDescent="0.15">
      <c r="B1384" s="6"/>
      <c r="C1384" s="6"/>
      <c r="D1384" s="6"/>
      <c r="E1384" s="5"/>
    </row>
    <row r="1385" spans="2:5" x14ac:dyDescent="0.15">
      <c r="B1385" s="6"/>
      <c r="C1385" s="6"/>
      <c r="D1385" s="6"/>
      <c r="E1385" s="5"/>
    </row>
    <row r="1386" spans="2:5" x14ac:dyDescent="0.15">
      <c r="B1386" s="6"/>
      <c r="C1386" s="6"/>
      <c r="D1386" s="6"/>
      <c r="E1386" s="5"/>
    </row>
    <row r="1387" spans="2:5" x14ac:dyDescent="0.15">
      <c r="B1387" s="6"/>
      <c r="C1387" s="6"/>
      <c r="D1387" s="6"/>
      <c r="E1387" s="5"/>
    </row>
    <row r="1388" spans="2:5" x14ac:dyDescent="0.15">
      <c r="B1388" s="6"/>
      <c r="C1388" s="6"/>
      <c r="D1388" s="6"/>
      <c r="E1388" s="5"/>
    </row>
    <row r="1389" spans="2:5" x14ac:dyDescent="0.15">
      <c r="B1389" s="6"/>
      <c r="C1389" s="6"/>
      <c r="D1389" s="6"/>
      <c r="E1389" s="5"/>
    </row>
    <row r="1390" spans="2:5" x14ac:dyDescent="0.15">
      <c r="B1390" s="6"/>
      <c r="C1390" s="6"/>
      <c r="D1390" s="6"/>
      <c r="E1390" s="5"/>
    </row>
    <row r="1391" spans="2:5" x14ac:dyDescent="0.15">
      <c r="B1391" s="6"/>
      <c r="C1391" s="6"/>
      <c r="D1391" s="6"/>
      <c r="E1391" s="5"/>
    </row>
    <row r="1392" spans="2:5" x14ac:dyDescent="0.15">
      <c r="B1392" s="6"/>
      <c r="C1392" s="6"/>
      <c r="D1392" s="6"/>
      <c r="E1392" s="5"/>
    </row>
    <row r="1393" spans="2:5" x14ac:dyDescent="0.15">
      <c r="B1393" s="6"/>
      <c r="C1393" s="6"/>
      <c r="D1393" s="6"/>
      <c r="E1393" s="5"/>
    </row>
    <row r="1394" spans="2:5" x14ac:dyDescent="0.15">
      <c r="B1394" s="6"/>
      <c r="C1394" s="6"/>
      <c r="D1394" s="6"/>
      <c r="E1394" s="5"/>
    </row>
    <row r="1395" spans="2:5" x14ac:dyDescent="0.15">
      <c r="B1395" s="6"/>
      <c r="C1395" s="6"/>
      <c r="D1395" s="6"/>
      <c r="E1395" s="5"/>
    </row>
    <row r="1396" spans="2:5" x14ac:dyDescent="0.15">
      <c r="B1396" s="6"/>
      <c r="C1396" s="6"/>
      <c r="D1396" s="6"/>
      <c r="E1396" s="5"/>
    </row>
    <row r="1397" spans="2:5" x14ac:dyDescent="0.15">
      <c r="B1397" s="6"/>
      <c r="C1397" s="6"/>
      <c r="D1397" s="6"/>
      <c r="E1397" s="5"/>
    </row>
    <row r="1398" spans="2:5" x14ac:dyDescent="0.15">
      <c r="B1398" s="6"/>
      <c r="C1398" s="6"/>
      <c r="D1398" s="6"/>
      <c r="E1398" s="5"/>
    </row>
    <row r="1399" spans="2:5" x14ac:dyDescent="0.15">
      <c r="B1399" s="6"/>
      <c r="C1399" s="6"/>
      <c r="D1399" s="6"/>
      <c r="E1399" s="5"/>
    </row>
    <row r="1400" spans="2:5" x14ac:dyDescent="0.15">
      <c r="B1400" s="6"/>
      <c r="C1400" s="6"/>
      <c r="D1400" s="6"/>
      <c r="E1400" s="5"/>
    </row>
    <row r="1401" spans="2:5" x14ac:dyDescent="0.15">
      <c r="B1401" s="6"/>
      <c r="C1401" s="6"/>
      <c r="D1401" s="6"/>
      <c r="E1401" s="5"/>
    </row>
    <row r="1402" spans="2:5" x14ac:dyDescent="0.15">
      <c r="B1402" s="6"/>
      <c r="C1402" s="6"/>
      <c r="D1402" s="6"/>
      <c r="E1402" s="5"/>
    </row>
    <row r="1403" spans="2:5" x14ac:dyDescent="0.15">
      <c r="B1403" s="6"/>
      <c r="C1403" s="6"/>
      <c r="D1403" s="6"/>
      <c r="E1403" s="5"/>
    </row>
    <row r="1404" spans="2:5" x14ac:dyDescent="0.15">
      <c r="B1404" s="6"/>
      <c r="C1404" s="6"/>
      <c r="D1404" s="6"/>
      <c r="E1404" s="5"/>
    </row>
    <row r="1405" spans="2:5" x14ac:dyDescent="0.15">
      <c r="B1405" s="6"/>
      <c r="C1405" s="6"/>
      <c r="D1405" s="6"/>
      <c r="E1405" s="5"/>
    </row>
    <row r="1406" spans="2:5" x14ac:dyDescent="0.15">
      <c r="B1406" s="6"/>
      <c r="C1406" s="6"/>
      <c r="D1406" s="6"/>
      <c r="E1406" s="5"/>
    </row>
    <row r="1407" spans="2:5" x14ac:dyDescent="0.15">
      <c r="B1407" s="6"/>
      <c r="C1407" s="6"/>
      <c r="D1407" s="6"/>
      <c r="E1407" s="5"/>
    </row>
    <row r="1408" spans="2:5" x14ac:dyDescent="0.15">
      <c r="B1408" s="6"/>
      <c r="C1408" s="6"/>
      <c r="D1408" s="6"/>
      <c r="E1408" s="5"/>
    </row>
    <row r="1409" spans="2:5" x14ac:dyDescent="0.15">
      <c r="B1409" s="6"/>
      <c r="C1409" s="6"/>
      <c r="D1409" s="6"/>
      <c r="E1409" s="5"/>
    </row>
    <row r="1410" spans="2:5" x14ac:dyDescent="0.15">
      <c r="B1410" s="6"/>
      <c r="C1410" s="6"/>
      <c r="D1410" s="6"/>
      <c r="E1410" s="5"/>
    </row>
    <row r="1411" spans="2:5" x14ac:dyDescent="0.15">
      <c r="B1411" s="6"/>
      <c r="C1411" s="6"/>
      <c r="D1411" s="6"/>
      <c r="E1411" s="5"/>
    </row>
    <row r="1412" spans="2:5" x14ac:dyDescent="0.15">
      <c r="B1412" s="6"/>
      <c r="C1412" s="6"/>
      <c r="D1412" s="6"/>
      <c r="E1412" s="5"/>
    </row>
    <row r="1413" spans="2:5" x14ac:dyDescent="0.15">
      <c r="B1413" s="6"/>
      <c r="C1413" s="6"/>
      <c r="D1413" s="6"/>
      <c r="E1413" s="5"/>
    </row>
    <row r="1414" spans="2:5" x14ac:dyDescent="0.15">
      <c r="B1414" s="6"/>
      <c r="C1414" s="6"/>
      <c r="D1414" s="6"/>
      <c r="E1414" s="5"/>
    </row>
    <row r="1415" spans="2:5" x14ac:dyDescent="0.15">
      <c r="B1415" s="6"/>
      <c r="C1415" s="6"/>
      <c r="D1415" s="6"/>
      <c r="E1415" s="5"/>
    </row>
    <row r="1416" spans="2:5" x14ac:dyDescent="0.15">
      <c r="B1416" s="6"/>
      <c r="C1416" s="6"/>
      <c r="D1416" s="6"/>
      <c r="E1416" s="5"/>
    </row>
    <row r="1417" spans="2:5" x14ac:dyDescent="0.15">
      <c r="B1417" s="6"/>
      <c r="C1417" s="6"/>
      <c r="D1417" s="6"/>
      <c r="E1417" s="5"/>
    </row>
    <row r="1418" spans="2:5" x14ac:dyDescent="0.15">
      <c r="B1418" s="6"/>
      <c r="C1418" s="6"/>
      <c r="D1418" s="6"/>
      <c r="E1418" s="5"/>
    </row>
    <row r="1419" spans="2:5" x14ac:dyDescent="0.15">
      <c r="B1419" s="6"/>
      <c r="C1419" s="6"/>
      <c r="D1419" s="6"/>
      <c r="E1419" s="5"/>
    </row>
    <row r="1420" spans="2:5" x14ac:dyDescent="0.15">
      <c r="B1420" s="6"/>
      <c r="C1420" s="6"/>
      <c r="D1420" s="6"/>
      <c r="E1420" s="5"/>
    </row>
    <row r="1421" spans="2:5" x14ac:dyDescent="0.15">
      <c r="B1421" s="6"/>
      <c r="C1421" s="6"/>
      <c r="D1421" s="6"/>
      <c r="E1421" s="5"/>
    </row>
    <row r="1422" spans="2:5" x14ac:dyDescent="0.15">
      <c r="B1422" s="6"/>
      <c r="C1422" s="6"/>
      <c r="D1422" s="6"/>
      <c r="E1422" s="5"/>
    </row>
    <row r="1423" spans="2:5" x14ac:dyDescent="0.15">
      <c r="B1423" s="6"/>
      <c r="C1423" s="6"/>
      <c r="D1423" s="6"/>
      <c r="E1423" s="5"/>
    </row>
    <row r="1424" spans="2:5" x14ac:dyDescent="0.15">
      <c r="B1424" s="6"/>
      <c r="C1424" s="6"/>
      <c r="D1424" s="6"/>
      <c r="E1424" s="5"/>
    </row>
    <row r="1425" spans="2:5" x14ac:dyDescent="0.15">
      <c r="B1425" s="6"/>
      <c r="C1425" s="6"/>
      <c r="D1425" s="6"/>
      <c r="E1425" s="5"/>
    </row>
    <row r="1426" spans="2:5" x14ac:dyDescent="0.15">
      <c r="B1426" s="6"/>
      <c r="C1426" s="6"/>
      <c r="D1426" s="6"/>
      <c r="E1426" s="5"/>
    </row>
    <row r="1427" spans="2:5" x14ac:dyDescent="0.15">
      <c r="B1427" s="6"/>
      <c r="C1427" s="6"/>
      <c r="D1427" s="6"/>
      <c r="E1427" s="5"/>
    </row>
    <row r="1428" spans="2:5" x14ac:dyDescent="0.15">
      <c r="B1428" s="6"/>
      <c r="C1428" s="6"/>
      <c r="D1428" s="6"/>
      <c r="E1428" s="5"/>
    </row>
    <row r="1429" spans="2:5" x14ac:dyDescent="0.15">
      <c r="B1429" s="6"/>
      <c r="C1429" s="6"/>
      <c r="D1429" s="6"/>
      <c r="E1429" s="5"/>
    </row>
    <row r="1430" spans="2:5" x14ac:dyDescent="0.15">
      <c r="B1430" s="6"/>
      <c r="C1430" s="6"/>
      <c r="D1430" s="6"/>
      <c r="E1430" s="5"/>
    </row>
    <row r="1431" spans="2:5" x14ac:dyDescent="0.15">
      <c r="B1431" s="6"/>
      <c r="C1431" s="6"/>
      <c r="D1431" s="6"/>
      <c r="E1431" s="5"/>
    </row>
    <row r="1432" spans="2:5" x14ac:dyDescent="0.15">
      <c r="B1432" s="6"/>
      <c r="C1432" s="6"/>
      <c r="D1432" s="6"/>
      <c r="E1432" s="5"/>
    </row>
    <row r="1433" spans="2:5" x14ac:dyDescent="0.15">
      <c r="B1433" s="6"/>
      <c r="C1433" s="6"/>
      <c r="D1433" s="6"/>
      <c r="E1433" s="5"/>
    </row>
    <row r="1434" spans="2:5" x14ac:dyDescent="0.15">
      <c r="B1434" s="6"/>
      <c r="C1434" s="6"/>
      <c r="D1434" s="6"/>
      <c r="E1434" s="5"/>
    </row>
    <row r="1435" spans="2:5" x14ac:dyDescent="0.15">
      <c r="B1435" s="6"/>
      <c r="C1435" s="6"/>
      <c r="D1435" s="6"/>
      <c r="E1435" s="5"/>
    </row>
    <row r="1436" spans="2:5" x14ac:dyDescent="0.15">
      <c r="B1436" s="6"/>
      <c r="C1436" s="6"/>
      <c r="D1436" s="6"/>
      <c r="E1436" s="5"/>
    </row>
    <row r="1437" spans="2:5" x14ac:dyDescent="0.15">
      <c r="B1437" s="6"/>
      <c r="C1437" s="6"/>
      <c r="D1437" s="6"/>
      <c r="E1437" s="5"/>
    </row>
    <row r="1438" spans="2:5" x14ac:dyDescent="0.15">
      <c r="B1438" s="6"/>
      <c r="C1438" s="6"/>
      <c r="D1438" s="6"/>
      <c r="E1438" s="5"/>
    </row>
    <row r="1439" spans="2:5" x14ac:dyDescent="0.15">
      <c r="B1439" s="6"/>
      <c r="C1439" s="6"/>
      <c r="D1439" s="6"/>
      <c r="E1439" s="5"/>
    </row>
    <row r="1440" spans="2:5" x14ac:dyDescent="0.15">
      <c r="B1440" s="6"/>
      <c r="C1440" s="6"/>
      <c r="D1440" s="6"/>
      <c r="E1440" s="5"/>
    </row>
    <row r="1441" spans="2:5" x14ac:dyDescent="0.15">
      <c r="B1441" s="6"/>
      <c r="C1441" s="6"/>
      <c r="D1441" s="6"/>
      <c r="E1441" s="5"/>
    </row>
    <row r="1442" spans="2:5" x14ac:dyDescent="0.15">
      <c r="B1442" s="6"/>
      <c r="C1442" s="6"/>
      <c r="D1442" s="6"/>
      <c r="E1442" s="5"/>
    </row>
    <row r="1443" spans="2:5" x14ac:dyDescent="0.15">
      <c r="B1443" s="6"/>
      <c r="C1443" s="6"/>
      <c r="D1443" s="6"/>
      <c r="E1443" s="5"/>
    </row>
    <row r="1444" spans="2:5" x14ac:dyDescent="0.15">
      <c r="B1444" s="6"/>
      <c r="C1444" s="6"/>
      <c r="D1444" s="6"/>
      <c r="E1444" s="5"/>
    </row>
    <row r="1445" spans="2:5" x14ac:dyDescent="0.15">
      <c r="B1445" s="6"/>
      <c r="C1445" s="6"/>
      <c r="D1445" s="6"/>
      <c r="E1445" s="5"/>
    </row>
    <row r="1446" spans="2:5" x14ac:dyDescent="0.15">
      <c r="B1446" s="6"/>
      <c r="C1446" s="6"/>
      <c r="D1446" s="6"/>
      <c r="E1446" s="5"/>
    </row>
    <row r="1447" spans="2:5" x14ac:dyDescent="0.15">
      <c r="B1447" s="6"/>
      <c r="C1447" s="6"/>
      <c r="D1447" s="6"/>
      <c r="E1447" s="5"/>
    </row>
    <row r="1448" spans="2:5" x14ac:dyDescent="0.15">
      <c r="B1448" s="6"/>
      <c r="C1448" s="6"/>
      <c r="D1448" s="6"/>
      <c r="E1448" s="5"/>
    </row>
    <row r="1449" spans="2:5" x14ac:dyDescent="0.15">
      <c r="B1449" s="6"/>
      <c r="C1449" s="6"/>
      <c r="D1449" s="6"/>
      <c r="E1449" s="5"/>
    </row>
    <row r="1450" spans="2:5" x14ac:dyDescent="0.15">
      <c r="B1450" s="6"/>
      <c r="C1450" s="6"/>
      <c r="D1450" s="6"/>
      <c r="E1450" s="5"/>
    </row>
    <row r="1451" spans="2:5" x14ac:dyDescent="0.15">
      <c r="B1451" s="6"/>
      <c r="C1451" s="6"/>
      <c r="D1451" s="6"/>
      <c r="E1451" s="5"/>
    </row>
    <row r="1452" spans="2:5" x14ac:dyDescent="0.15">
      <c r="B1452" s="6"/>
      <c r="C1452" s="6"/>
      <c r="D1452" s="6"/>
      <c r="E1452" s="5"/>
    </row>
    <row r="1453" spans="2:5" x14ac:dyDescent="0.15">
      <c r="B1453" s="6"/>
      <c r="C1453" s="6"/>
      <c r="D1453" s="6"/>
      <c r="E1453" s="5"/>
    </row>
    <row r="1454" spans="2:5" x14ac:dyDescent="0.15">
      <c r="B1454" s="6"/>
      <c r="C1454" s="6"/>
      <c r="D1454" s="6"/>
      <c r="E1454" s="5"/>
    </row>
    <row r="1455" spans="2:5" x14ac:dyDescent="0.15">
      <c r="B1455" s="6"/>
      <c r="C1455" s="6"/>
      <c r="D1455" s="6"/>
      <c r="E1455" s="5"/>
    </row>
    <row r="1456" spans="2:5" x14ac:dyDescent="0.15">
      <c r="B1456" s="6"/>
      <c r="C1456" s="6"/>
      <c r="D1456" s="6"/>
      <c r="E1456" s="5"/>
    </row>
    <row r="1457" spans="2:5" x14ac:dyDescent="0.15">
      <c r="B1457" s="6"/>
      <c r="C1457" s="6"/>
      <c r="D1457" s="6"/>
      <c r="E1457" s="5"/>
    </row>
    <row r="1458" spans="2:5" x14ac:dyDescent="0.15">
      <c r="B1458" s="6"/>
      <c r="C1458" s="6"/>
      <c r="D1458" s="6"/>
      <c r="E1458" s="5"/>
    </row>
    <row r="1459" spans="2:5" x14ac:dyDescent="0.15">
      <c r="B1459" s="6"/>
      <c r="C1459" s="6"/>
      <c r="D1459" s="6"/>
      <c r="E1459" s="5"/>
    </row>
    <row r="1460" spans="2:5" x14ac:dyDescent="0.15">
      <c r="B1460" s="6"/>
      <c r="C1460" s="6"/>
      <c r="D1460" s="6"/>
      <c r="E1460" s="5"/>
    </row>
    <row r="1461" spans="2:5" x14ac:dyDescent="0.15">
      <c r="B1461" s="6"/>
      <c r="C1461" s="6"/>
      <c r="D1461" s="6"/>
      <c r="E1461" s="5"/>
    </row>
    <row r="1462" spans="2:5" x14ac:dyDescent="0.15">
      <c r="B1462" s="6"/>
      <c r="C1462" s="6"/>
      <c r="D1462" s="6"/>
      <c r="E1462" s="5"/>
    </row>
    <row r="1463" spans="2:5" x14ac:dyDescent="0.15">
      <c r="B1463" s="6"/>
      <c r="C1463" s="6"/>
      <c r="D1463" s="6"/>
      <c r="E1463" s="5"/>
    </row>
    <row r="1464" spans="2:5" x14ac:dyDescent="0.15">
      <c r="B1464" s="6"/>
      <c r="C1464" s="6"/>
      <c r="D1464" s="6"/>
      <c r="E1464" s="5"/>
    </row>
    <row r="1465" spans="2:5" x14ac:dyDescent="0.15">
      <c r="B1465" s="6"/>
      <c r="C1465" s="6"/>
      <c r="D1465" s="6"/>
      <c r="E1465" s="5"/>
    </row>
    <row r="1466" spans="2:5" x14ac:dyDescent="0.15">
      <c r="B1466" s="6"/>
      <c r="C1466" s="6"/>
      <c r="D1466" s="6"/>
      <c r="E1466" s="5"/>
    </row>
    <row r="1467" spans="2:5" x14ac:dyDescent="0.15">
      <c r="B1467" s="6"/>
      <c r="C1467" s="6"/>
      <c r="D1467" s="6"/>
      <c r="E1467" s="5"/>
    </row>
    <row r="1468" spans="2:5" x14ac:dyDescent="0.15">
      <c r="B1468" s="6"/>
      <c r="C1468" s="6"/>
      <c r="D1468" s="6"/>
      <c r="E1468" s="5"/>
    </row>
    <row r="1469" spans="2:5" x14ac:dyDescent="0.15">
      <c r="B1469" s="6"/>
      <c r="C1469" s="6"/>
      <c r="D1469" s="6"/>
      <c r="E1469" s="5"/>
    </row>
    <row r="1470" spans="2:5" x14ac:dyDescent="0.15">
      <c r="B1470" s="6"/>
      <c r="C1470" s="6"/>
      <c r="D1470" s="6"/>
      <c r="E1470" s="5"/>
    </row>
    <row r="1471" spans="2:5" x14ac:dyDescent="0.15">
      <c r="B1471" s="6"/>
      <c r="C1471" s="6"/>
      <c r="D1471" s="6"/>
      <c r="E1471" s="5"/>
    </row>
    <row r="1472" spans="2:5" x14ac:dyDescent="0.15">
      <c r="B1472" s="6"/>
      <c r="C1472" s="6"/>
      <c r="D1472" s="6"/>
      <c r="E1472" s="5"/>
    </row>
    <row r="1473" spans="2:5" x14ac:dyDescent="0.15">
      <c r="B1473" s="6"/>
      <c r="C1473" s="6"/>
      <c r="D1473" s="6"/>
      <c r="E1473" s="5"/>
    </row>
    <row r="1474" spans="2:5" x14ac:dyDescent="0.15">
      <c r="B1474" s="6"/>
      <c r="C1474" s="6"/>
      <c r="D1474" s="6"/>
      <c r="E1474" s="5"/>
    </row>
    <row r="1475" spans="2:5" x14ac:dyDescent="0.15">
      <c r="B1475" s="6"/>
      <c r="C1475" s="6"/>
      <c r="D1475" s="6"/>
      <c r="E1475" s="5"/>
    </row>
    <row r="1476" spans="2:5" x14ac:dyDescent="0.15">
      <c r="B1476" s="6"/>
      <c r="C1476" s="6"/>
      <c r="D1476" s="6"/>
      <c r="E1476" s="5"/>
    </row>
    <row r="1477" spans="2:5" x14ac:dyDescent="0.15">
      <c r="B1477" s="6"/>
      <c r="C1477" s="6"/>
      <c r="D1477" s="6"/>
      <c r="E1477" s="5"/>
    </row>
    <row r="1478" spans="2:5" x14ac:dyDescent="0.15">
      <c r="B1478" s="6"/>
      <c r="C1478" s="6"/>
      <c r="D1478" s="6"/>
      <c r="E1478" s="5"/>
    </row>
    <row r="1479" spans="2:5" x14ac:dyDescent="0.15">
      <c r="B1479" s="6"/>
      <c r="C1479" s="6"/>
      <c r="D1479" s="6"/>
      <c r="E1479" s="5"/>
    </row>
    <row r="1480" spans="2:5" x14ac:dyDescent="0.15">
      <c r="B1480" s="6"/>
      <c r="C1480" s="6"/>
      <c r="D1480" s="6"/>
      <c r="E1480" s="5"/>
    </row>
    <row r="1481" spans="2:5" x14ac:dyDescent="0.15">
      <c r="B1481" s="6"/>
      <c r="C1481" s="6"/>
      <c r="D1481" s="6"/>
      <c r="E1481" s="5"/>
    </row>
    <row r="1482" spans="2:5" x14ac:dyDescent="0.15">
      <c r="B1482" s="6"/>
      <c r="C1482" s="6"/>
      <c r="D1482" s="6"/>
      <c r="E1482" s="5"/>
    </row>
    <row r="1483" spans="2:5" x14ac:dyDescent="0.15">
      <c r="B1483" s="6"/>
      <c r="C1483" s="6"/>
      <c r="D1483" s="6"/>
      <c r="E1483" s="5"/>
    </row>
    <row r="1484" spans="2:5" x14ac:dyDescent="0.15">
      <c r="B1484" s="6"/>
      <c r="C1484" s="6"/>
      <c r="D1484" s="6"/>
      <c r="E1484" s="5"/>
    </row>
    <row r="1485" spans="2:5" x14ac:dyDescent="0.15">
      <c r="B1485" s="6"/>
      <c r="C1485" s="6"/>
      <c r="D1485" s="6"/>
      <c r="E1485" s="5"/>
    </row>
    <row r="1486" spans="2:5" x14ac:dyDescent="0.15">
      <c r="B1486" s="6"/>
      <c r="C1486" s="6"/>
      <c r="D1486" s="6"/>
      <c r="E1486" s="5"/>
    </row>
    <row r="1487" spans="2:5" x14ac:dyDescent="0.15">
      <c r="B1487" s="6"/>
      <c r="C1487" s="6"/>
      <c r="D1487" s="6"/>
      <c r="E1487" s="5"/>
    </row>
    <row r="1488" spans="2:5" x14ac:dyDescent="0.15">
      <c r="B1488" s="6"/>
      <c r="C1488" s="6"/>
      <c r="D1488" s="6"/>
      <c r="E1488" s="5"/>
    </row>
    <row r="1489" spans="2:5" x14ac:dyDescent="0.15">
      <c r="B1489" s="6"/>
      <c r="C1489" s="6"/>
      <c r="D1489" s="6"/>
      <c r="E1489" s="5"/>
    </row>
    <row r="1490" spans="2:5" x14ac:dyDescent="0.15">
      <c r="B1490" s="6"/>
      <c r="C1490" s="6"/>
      <c r="D1490" s="6"/>
      <c r="E1490" s="5"/>
    </row>
    <row r="1491" spans="2:5" x14ac:dyDescent="0.15">
      <c r="B1491" s="6"/>
      <c r="C1491" s="6"/>
      <c r="D1491" s="6"/>
      <c r="E1491" s="5"/>
    </row>
    <row r="1492" spans="2:5" x14ac:dyDescent="0.15">
      <c r="B1492" s="6"/>
      <c r="C1492" s="6"/>
      <c r="D1492" s="6"/>
      <c r="E1492" s="5"/>
    </row>
    <row r="1493" spans="2:5" x14ac:dyDescent="0.15">
      <c r="B1493" s="6"/>
      <c r="C1493" s="6"/>
      <c r="D1493" s="6"/>
      <c r="E1493" s="5"/>
    </row>
    <row r="1494" spans="2:5" x14ac:dyDescent="0.15">
      <c r="B1494" s="6"/>
      <c r="C1494" s="6"/>
      <c r="D1494" s="6"/>
      <c r="E1494" s="5"/>
    </row>
    <row r="1495" spans="2:5" x14ac:dyDescent="0.15">
      <c r="B1495" s="6"/>
      <c r="C1495" s="6"/>
      <c r="D1495" s="6"/>
      <c r="E1495" s="5"/>
    </row>
    <row r="1496" spans="2:5" x14ac:dyDescent="0.15">
      <c r="B1496" s="6"/>
      <c r="C1496" s="6"/>
      <c r="D1496" s="6"/>
      <c r="E1496" s="5"/>
    </row>
    <row r="1497" spans="2:5" x14ac:dyDescent="0.15">
      <c r="B1497" s="6"/>
      <c r="C1497" s="6"/>
      <c r="D1497" s="6"/>
      <c r="E1497" s="5"/>
    </row>
    <row r="1498" spans="2:5" x14ac:dyDescent="0.15">
      <c r="B1498" s="6"/>
      <c r="C1498" s="6"/>
      <c r="D1498" s="6"/>
      <c r="E1498" s="5"/>
    </row>
    <row r="1499" spans="2:5" x14ac:dyDescent="0.15">
      <c r="B1499" s="6"/>
      <c r="C1499" s="6"/>
      <c r="D1499" s="6"/>
      <c r="E1499" s="5"/>
    </row>
    <row r="1500" spans="2:5" x14ac:dyDescent="0.15">
      <c r="B1500" s="6"/>
      <c r="C1500" s="6"/>
      <c r="D1500" s="6"/>
      <c r="E1500" s="5"/>
    </row>
    <row r="1501" spans="2:5" x14ac:dyDescent="0.15">
      <c r="B1501" s="6"/>
      <c r="C1501" s="6"/>
      <c r="D1501" s="6"/>
      <c r="E1501" s="5"/>
    </row>
    <row r="1502" spans="2:5" x14ac:dyDescent="0.15">
      <c r="B1502" s="6"/>
      <c r="C1502" s="6"/>
      <c r="D1502" s="6"/>
      <c r="E1502" s="5"/>
    </row>
    <row r="1503" spans="2:5" x14ac:dyDescent="0.15">
      <c r="B1503" s="6"/>
      <c r="C1503" s="6"/>
      <c r="D1503" s="6"/>
      <c r="E1503" s="5"/>
    </row>
    <row r="1504" spans="2:5" x14ac:dyDescent="0.15">
      <c r="B1504" s="6"/>
      <c r="C1504" s="6"/>
      <c r="D1504" s="6"/>
      <c r="E1504" s="5"/>
    </row>
    <row r="1505" spans="2:5" x14ac:dyDescent="0.15">
      <c r="B1505" s="6"/>
      <c r="C1505" s="6"/>
      <c r="D1505" s="6"/>
      <c r="E1505" s="5"/>
    </row>
    <row r="1506" spans="2:5" x14ac:dyDescent="0.15">
      <c r="B1506" s="6"/>
      <c r="C1506" s="6"/>
      <c r="D1506" s="6"/>
      <c r="E1506" s="5"/>
    </row>
    <row r="1507" spans="2:5" x14ac:dyDescent="0.15">
      <c r="B1507" s="6"/>
      <c r="C1507" s="6"/>
      <c r="D1507" s="6"/>
      <c r="E1507" s="5"/>
    </row>
    <row r="1508" spans="2:5" x14ac:dyDescent="0.15">
      <c r="B1508" s="6"/>
      <c r="C1508" s="6"/>
      <c r="D1508" s="6"/>
      <c r="E1508" s="5"/>
    </row>
    <row r="1509" spans="2:5" x14ac:dyDescent="0.15">
      <c r="B1509" s="6"/>
      <c r="C1509" s="6"/>
      <c r="D1509" s="6"/>
      <c r="E1509" s="5"/>
    </row>
    <row r="1510" spans="2:5" x14ac:dyDescent="0.15">
      <c r="B1510" s="6"/>
      <c r="C1510" s="6"/>
      <c r="D1510" s="6"/>
      <c r="E1510" s="5"/>
    </row>
    <row r="1511" spans="2:5" x14ac:dyDescent="0.15">
      <c r="B1511" s="6"/>
      <c r="C1511" s="6"/>
      <c r="D1511" s="6"/>
      <c r="E1511" s="5"/>
    </row>
    <row r="1512" spans="2:5" x14ac:dyDescent="0.15">
      <c r="B1512" s="6"/>
      <c r="C1512" s="6"/>
      <c r="D1512" s="6"/>
      <c r="E1512" s="5"/>
    </row>
    <row r="1513" spans="2:5" x14ac:dyDescent="0.15">
      <c r="B1513" s="6"/>
      <c r="C1513" s="6"/>
      <c r="D1513" s="6"/>
      <c r="E1513" s="5"/>
    </row>
    <row r="1514" spans="2:5" x14ac:dyDescent="0.15">
      <c r="B1514" s="6"/>
      <c r="C1514" s="6"/>
      <c r="D1514" s="6"/>
      <c r="E1514" s="5"/>
    </row>
    <row r="1515" spans="2:5" x14ac:dyDescent="0.15">
      <c r="B1515" s="6"/>
      <c r="C1515" s="6"/>
      <c r="D1515" s="6"/>
      <c r="E1515" s="5"/>
    </row>
    <row r="1516" spans="2:5" x14ac:dyDescent="0.15">
      <c r="B1516" s="6"/>
      <c r="C1516" s="6"/>
      <c r="D1516" s="6"/>
      <c r="E1516" s="5"/>
    </row>
    <row r="1517" spans="2:5" x14ac:dyDescent="0.15">
      <c r="B1517" s="6"/>
      <c r="C1517" s="6"/>
      <c r="D1517" s="6"/>
      <c r="E1517" s="5"/>
    </row>
    <row r="1518" spans="2:5" x14ac:dyDescent="0.15">
      <c r="B1518" s="6"/>
      <c r="C1518" s="6"/>
      <c r="D1518" s="6"/>
      <c r="E1518" s="5"/>
    </row>
    <row r="1519" spans="2:5" x14ac:dyDescent="0.15">
      <c r="B1519" s="6"/>
      <c r="C1519" s="6"/>
      <c r="D1519" s="6"/>
      <c r="E1519" s="5"/>
    </row>
    <row r="1520" spans="2:5" x14ac:dyDescent="0.15">
      <c r="B1520" s="6"/>
      <c r="C1520" s="6"/>
      <c r="D1520" s="6"/>
      <c r="E1520" s="5"/>
    </row>
    <row r="1521" spans="2:5" x14ac:dyDescent="0.15">
      <c r="B1521" s="6"/>
      <c r="C1521" s="6"/>
      <c r="D1521" s="6"/>
      <c r="E1521" s="5"/>
    </row>
    <row r="1522" spans="2:5" x14ac:dyDescent="0.15">
      <c r="B1522" s="6"/>
      <c r="C1522" s="6"/>
      <c r="D1522" s="6"/>
      <c r="E1522" s="5"/>
    </row>
    <row r="1523" spans="2:5" x14ac:dyDescent="0.15">
      <c r="B1523" s="6"/>
      <c r="C1523" s="6"/>
      <c r="D1523" s="6"/>
      <c r="E1523" s="5"/>
    </row>
    <row r="1524" spans="2:5" x14ac:dyDescent="0.15">
      <c r="B1524" s="6"/>
      <c r="C1524" s="6"/>
      <c r="D1524" s="6"/>
      <c r="E1524" s="5"/>
    </row>
    <row r="1525" spans="2:5" x14ac:dyDescent="0.15">
      <c r="B1525" s="6"/>
      <c r="C1525" s="6"/>
      <c r="D1525" s="6"/>
      <c r="E1525" s="5"/>
    </row>
    <row r="1526" spans="2:5" x14ac:dyDescent="0.15">
      <c r="B1526" s="6"/>
      <c r="C1526" s="6"/>
      <c r="D1526" s="6"/>
      <c r="E1526" s="5"/>
    </row>
    <row r="1527" spans="2:5" x14ac:dyDescent="0.15">
      <c r="B1527" s="6"/>
      <c r="C1527" s="6"/>
      <c r="D1527" s="6"/>
      <c r="E1527" s="5"/>
    </row>
    <row r="1528" spans="2:5" x14ac:dyDescent="0.15">
      <c r="B1528" s="6"/>
      <c r="C1528" s="6"/>
      <c r="D1528" s="6"/>
      <c r="E1528" s="5"/>
    </row>
    <row r="1529" spans="2:5" x14ac:dyDescent="0.15">
      <c r="B1529" s="6"/>
      <c r="C1529" s="6"/>
      <c r="D1529" s="6"/>
      <c r="E1529" s="5"/>
    </row>
    <row r="1530" spans="2:5" x14ac:dyDescent="0.15">
      <c r="B1530" s="6"/>
      <c r="C1530" s="6"/>
      <c r="D1530" s="6"/>
      <c r="E1530" s="5"/>
    </row>
    <row r="1531" spans="2:5" x14ac:dyDescent="0.15">
      <c r="B1531" s="6"/>
      <c r="C1531" s="6"/>
      <c r="D1531" s="6"/>
      <c r="E1531" s="5"/>
    </row>
    <row r="1532" spans="2:5" x14ac:dyDescent="0.15">
      <c r="B1532" s="6"/>
      <c r="C1532" s="6"/>
      <c r="D1532" s="6"/>
      <c r="E1532" s="5"/>
    </row>
    <row r="1533" spans="2:5" x14ac:dyDescent="0.15">
      <c r="B1533" s="6"/>
      <c r="C1533" s="6"/>
      <c r="D1533" s="6"/>
      <c r="E1533" s="5"/>
    </row>
    <row r="1534" spans="2:5" x14ac:dyDescent="0.15">
      <c r="B1534" s="6"/>
      <c r="C1534" s="6"/>
      <c r="D1534" s="6"/>
      <c r="E1534" s="5"/>
    </row>
    <row r="1535" spans="2:5" x14ac:dyDescent="0.15">
      <c r="B1535" s="6"/>
      <c r="C1535" s="6"/>
      <c r="D1535" s="6"/>
      <c r="E1535" s="5"/>
    </row>
    <row r="1536" spans="2:5" x14ac:dyDescent="0.15">
      <c r="B1536" s="6"/>
      <c r="C1536" s="6"/>
      <c r="D1536" s="6"/>
      <c r="E1536" s="5"/>
    </row>
    <row r="1537" spans="2:5" x14ac:dyDescent="0.15">
      <c r="B1537" s="6"/>
      <c r="C1537" s="6"/>
      <c r="D1537" s="6"/>
      <c r="E1537" s="5"/>
    </row>
    <row r="1538" spans="2:5" x14ac:dyDescent="0.15">
      <c r="B1538" s="6"/>
      <c r="C1538" s="6"/>
      <c r="D1538" s="6"/>
      <c r="E1538" s="5"/>
    </row>
    <row r="1539" spans="2:5" x14ac:dyDescent="0.15">
      <c r="B1539" s="6"/>
      <c r="C1539" s="6"/>
      <c r="D1539" s="6"/>
      <c r="E1539" s="5"/>
    </row>
    <row r="1540" spans="2:5" x14ac:dyDescent="0.15">
      <c r="B1540" s="6"/>
      <c r="C1540" s="6"/>
      <c r="D1540" s="6"/>
      <c r="E1540" s="5"/>
    </row>
    <row r="1541" spans="2:5" x14ac:dyDescent="0.15">
      <c r="B1541" s="6"/>
      <c r="C1541" s="6"/>
      <c r="D1541" s="6"/>
      <c r="E1541" s="5"/>
    </row>
    <row r="1542" spans="2:5" x14ac:dyDescent="0.15">
      <c r="B1542" s="6"/>
      <c r="C1542" s="6"/>
      <c r="D1542" s="6"/>
      <c r="E1542" s="5"/>
    </row>
    <row r="1543" spans="2:5" x14ac:dyDescent="0.15">
      <c r="B1543" s="6"/>
      <c r="C1543" s="6"/>
      <c r="D1543" s="6"/>
      <c r="E1543" s="5"/>
    </row>
    <row r="1544" spans="2:5" x14ac:dyDescent="0.15">
      <c r="B1544" s="6"/>
      <c r="C1544" s="6"/>
      <c r="D1544" s="6"/>
      <c r="E1544" s="5"/>
    </row>
    <row r="1545" spans="2:5" x14ac:dyDescent="0.15">
      <c r="B1545" s="6"/>
      <c r="C1545" s="6"/>
      <c r="D1545" s="6"/>
      <c r="E1545" s="5"/>
    </row>
    <row r="1546" spans="2:5" x14ac:dyDescent="0.15">
      <c r="B1546" s="6"/>
      <c r="C1546" s="6"/>
      <c r="D1546" s="6"/>
      <c r="E1546" s="5"/>
    </row>
    <row r="1547" spans="2:5" x14ac:dyDescent="0.15">
      <c r="B1547" s="6"/>
      <c r="C1547" s="6"/>
      <c r="D1547" s="6"/>
      <c r="E1547" s="5"/>
    </row>
    <row r="1548" spans="2:5" x14ac:dyDescent="0.15">
      <c r="B1548" s="6"/>
      <c r="C1548" s="6"/>
      <c r="D1548" s="6"/>
      <c r="E1548" s="5"/>
    </row>
    <row r="1549" spans="2:5" x14ac:dyDescent="0.15">
      <c r="B1549" s="6"/>
      <c r="C1549" s="6"/>
      <c r="D1549" s="6"/>
      <c r="E1549" s="5"/>
    </row>
    <row r="1550" spans="2:5" x14ac:dyDescent="0.15">
      <c r="B1550" s="6"/>
      <c r="C1550" s="6"/>
      <c r="D1550" s="6"/>
      <c r="E1550" s="5"/>
    </row>
    <row r="1551" spans="2:5" x14ac:dyDescent="0.15">
      <c r="B1551" s="6"/>
      <c r="C1551" s="6"/>
      <c r="D1551" s="6"/>
      <c r="E1551" s="5"/>
    </row>
    <row r="1552" spans="2:5" x14ac:dyDescent="0.15">
      <c r="B1552" s="6"/>
      <c r="C1552" s="6"/>
      <c r="D1552" s="6"/>
      <c r="E1552" s="5"/>
    </row>
    <row r="1553" spans="2:5" x14ac:dyDescent="0.15">
      <c r="B1553" s="6"/>
      <c r="C1553" s="6"/>
      <c r="D1553" s="6"/>
      <c r="E1553" s="5"/>
    </row>
    <row r="1554" spans="2:5" x14ac:dyDescent="0.15">
      <c r="B1554" s="6"/>
      <c r="C1554" s="6"/>
      <c r="D1554" s="6"/>
      <c r="E1554" s="5"/>
    </row>
    <row r="1555" spans="2:5" x14ac:dyDescent="0.15">
      <c r="B1555" s="6"/>
      <c r="C1555" s="6"/>
      <c r="D1555" s="6"/>
      <c r="E1555" s="5"/>
    </row>
    <row r="1556" spans="2:5" x14ac:dyDescent="0.15">
      <c r="B1556" s="6"/>
      <c r="C1556" s="6"/>
      <c r="D1556" s="6"/>
      <c r="E1556" s="5"/>
    </row>
    <row r="1557" spans="2:5" x14ac:dyDescent="0.15">
      <c r="B1557" s="6"/>
      <c r="C1557" s="6"/>
      <c r="D1557" s="6"/>
      <c r="E1557" s="5"/>
    </row>
    <row r="1558" spans="2:5" x14ac:dyDescent="0.15">
      <c r="B1558" s="6"/>
      <c r="C1558" s="6"/>
      <c r="D1558" s="6"/>
      <c r="E1558" s="5"/>
    </row>
    <row r="1559" spans="2:5" x14ac:dyDescent="0.15">
      <c r="B1559" s="6"/>
      <c r="C1559" s="6"/>
      <c r="D1559" s="6"/>
      <c r="E1559" s="5"/>
    </row>
    <row r="1560" spans="2:5" x14ac:dyDescent="0.15">
      <c r="B1560" s="6"/>
      <c r="C1560" s="6"/>
      <c r="D1560" s="6"/>
      <c r="E1560" s="5"/>
    </row>
    <row r="1561" spans="2:5" x14ac:dyDescent="0.15">
      <c r="B1561" s="6"/>
      <c r="C1561" s="6"/>
      <c r="D1561" s="6"/>
      <c r="E1561" s="5"/>
    </row>
    <row r="1562" spans="2:5" x14ac:dyDescent="0.15">
      <c r="B1562" s="6"/>
      <c r="C1562" s="6"/>
      <c r="D1562" s="6"/>
      <c r="E1562" s="5"/>
    </row>
    <row r="1563" spans="2:5" x14ac:dyDescent="0.15">
      <c r="B1563" s="6"/>
      <c r="C1563" s="6"/>
      <c r="D1563" s="6"/>
      <c r="E1563" s="5"/>
    </row>
    <row r="1564" spans="2:5" x14ac:dyDescent="0.15">
      <c r="B1564" s="6"/>
      <c r="C1564" s="6"/>
      <c r="D1564" s="6"/>
      <c r="E1564" s="5"/>
    </row>
    <row r="1565" spans="2:5" x14ac:dyDescent="0.15">
      <c r="B1565" s="6"/>
      <c r="C1565" s="6"/>
      <c r="D1565" s="6"/>
      <c r="E1565" s="5"/>
    </row>
    <row r="1566" spans="2:5" x14ac:dyDescent="0.15">
      <c r="B1566" s="6"/>
      <c r="C1566" s="6"/>
      <c r="D1566" s="6"/>
      <c r="E1566" s="5"/>
    </row>
    <row r="1567" spans="2:5" x14ac:dyDescent="0.15">
      <c r="B1567" s="6"/>
      <c r="C1567" s="6"/>
      <c r="D1567" s="6"/>
      <c r="E1567" s="5"/>
    </row>
    <row r="1568" spans="2:5" x14ac:dyDescent="0.15">
      <c r="B1568" s="6"/>
      <c r="C1568" s="6"/>
      <c r="D1568" s="6"/>
      <c r="E1568" s="5"/>
    </row>
    <row r="1569" spans="2:5" x14ac:dyDescent="0.15">
      <c r="B1569" s="6"/>
      <c r="C1569" s="6"/>
      <c r="D1569" s="6"/>
      <c r="E1569" s="5"/>
    </row>
    <row r="1570" spans="2:5" x14ac:dyDescent="0.15">
      <c r="B1570" s="6"/>
      <c r="C1570" s="6"/>
      <c r="D1570" s="6"/>
      <c r="E1570" s="5"/>
    </row>
    <row r="1571" spans="2:5" x14ac:dyDescent="0.15">
      <c r="B1571" s="6"/>
      <c r="C1571" s="6"/>
      <c r="D1571" s="6"/>
      <c r="E1571" s="5"/>
    </row>
    <row r="1572" spans="2:5" x14ac:dyDescent="0.15">
      <c r="B1572" s="6"/>
      <c r="C1572" s="6"/>
      <c r="D1572" s="6"/>
      <c r="E1572" s="5"/>
    </row>
    <row r="1573" spans="2:5" x14ac:dyDescent="0.15">
      <c r="B1573" s="6"/>
      <c r="C1573" s="6"/>
      <c r="D1573" s="6"/>
      <c r="E1573" s="5"/>
    </row>
    <row r="1574" spans="2:5" x14ac:dyDescent="0.15">
      <c r="B1574" s="6"/>
      <c r="C1574" s="6"/>
      <c r="D1574" s="6"/>
      <c r="E1574" s="5"/>
    </row>
    <row r="1575" spans="2:5" x14ac:dyDescent="0.15">
      <c r="B1575" s="6"/>
      <c r="C1575" s="6"/>
      <c r="D1575" s="6"/>
      <c r="E1575" s="5"/>
    </row>
    <row r="1576" spans="2:5" x14ac:dyDescent="0.15">
      <c r="B1576" s="6"/>
      <c r="C1576" s="6"/>
      <c r="D1576" s="6"/>
      <c r="E1576" s="5"/>
    </row>
    <row r="1577" spans="2:5" x14ac:dyDescent="0.15">
      <c r="B1577" s="6"/>
      <c r="C1577" s="6"/>
      <c r="D1577" s="6"/>
      <c r="E1577" s="5"/>
    </row>
  </sheetData>
  <autoFilter ref="B10:E1577" xr:uid="{00000000-0001-0000-0000-000000000000}"/>
  <sortState xmlns:xlrd2="http://schemas.microsoft.com/office/spreadsheetml/2017/richdata2" ref="A46:F297">
    <sortCondition ref="B46:B297"/>
    <sortCondition ref="C46:C297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 003</cp:lastModifiedBy>
  <cp:lastPrinted>2025-04-07T00:58:25Z</cp:lastPrinted>
  <dcterms:created xsi:type="dcterms:W3CDTF">2015-03-02T01:12:59Z</dcterms:created>
  <dcterms:modified xsi:type="dcterms:W3CDTF">2025-04-07T00:59:20Z</dcterms:modified>
</cp:coreProperties>
</file>